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D:\แผนงาน\แผน 2566\แผนปฏิบัติการ 2566_สสจ\ปรับแผนรออนุมัติ\"/>
    </mc:Choice>
  </mc:AlternateContent>
  <xr:revisionPtr revIDLastSave="0" documentId="13_ncr:1_{81322639-D1E5-4853-B01F-9BF64BBA7020}" xr6:coauthVersionLast="47" xr6:coauthVersionMax="47" xr10:uidLastSave="{00000000-0000-0000-0000-000000000000}"/>
  <bookViews>
    <workbookView xWindow="-103" yWindow="-103" windowWidth="16663" windowHeight="8743" firstSheet="4" activeTab="9" xr2:uid="{00000000-000D-0000-FFFF-FFFF00000000}"/>
  </bookViews>
  <sheets>
    <sheet name="สรุปงบกง." sheetId="7" r:id="rId1"/>
    <sheet name="รวมโครงการ" sheetId="20" r:id="rId2"/>
    <sheet name="รายละเอียดแผนงานโครงการ" sheetId="2" r:id="rId3"/>
    <sheet name="หลักเกณฑ์การตั้งงบ" sheetId="3" r:id="rId4"/>
    <sheet name="แผนไทย" sheetId="17" r:id="rId5"/>
    <sheet name="ทันตฯ" sheetId="6" r:id="rId6"/>
    <sheet name="บริหาร" sheetId="8" r:id="rId7"/>
    <sheet name="ประกัน" sheetId="10" r:id="rId8"/>
    <sheet name="คบส" sheetId="18" r:id="rId9"/>
    <sheet name="ยุทธ" sheetId="15" r:id="rId10"/>
    <sheet name="กฎหมาย" sheetId="19" r:id="rId11"/>
    <sheet name="NCD" sheetId="11" r:id="rId12"/>
    <sheet name="พร." sheetId="12" r:id="rId13"/>
    <sheet name="อวล." sheetId="13" r:id="rId14"/>
    <sheet name="บค." sheetId="16" r:id="rId15"/>
    <sheet name="ส่งเสริม" sheetId="9" r:id="rId16"/>
    <sheet name="คร" sheetId="14" r:id="rId17"/>
  </sheets>
  <definedNames>
    <definedName name="_xlnm._FilterDatabase" localSheetId="11" hidden="1">NCD!$A$11:$AL$349</definedName>
    <definedName name="_xlnm._FilterDatabase" localSheetId="8" hidden="1">คบส!$A$1:$AE$17</definedName>
    <definedName name="_xlnm._FilterDatabase" localSheetId="16" hidden="1">คร!$A$11:$AH$77</definedName>
    <definedName name="_xlnm._FilterDatabase" localSheetId="5" hidden="1">ทันตฯ!$A$1:$AE$80</definedName>
    <definedName name="_xlnm._FilterDatabase" localSheetId="7" hidden="1">ประกัน!$A$1:$AE$38</definedName>
    <definedName name="_xlnm._FilterDatabase" localSheetId="4" hidden="1">แผนไทย!$A$11:$AE$20</definedName>
    <definedName name="_xlnm._FilterDatabase" localSheetId="12" hidden="1">พร.!$A$11:$AG$18</definedName>
    <definedName name="_xlnm._FilterDatabase" localSheetId="9" hidden="1">ยุทธ!$A$11:$AE$19</definedName>
    <definedName name="_xlnm._FilterDatabase" localSheetId="15" hidden="1">ส่งเสริม!$A$11:$AE$18</definedName>
    <definedName name="_xlnm.Print_Titles" localSheetId="2">รายละเอียดแผนงานโครงการ!$2:$4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45" i="12" l="1"/>
  <c r="S7" i="20" l="1"/>
  <c r="S8" i="20"/>
  <c r="S9" i="20"/>
  <c r="S10" i="20"/>
  <c r="S11" i="20"/>
  <c r="S12" i="20"/>
  <c r="S13" i="20"/>
  <c r="S14" i="20"/>
  <c r="S15" i="20"/>
  <c r="S16" i="20"/>
  <c r="S17" i="20"/>
  <c r="S18" i="20"/>
  <c r="S19" i="20"/>
  <c r="S20" i="20"/>
  <c r="S21" i="20"/>
  <c r="S22" i="20"/>
  <c r="S23" i="20"/>
  <c r="S24" i="20"/>
  <c r="S25" i="20"/>
  <c r="S26" i="20"/>
  <c r="S27" i="20"/>
  <c r="S28" i="20"/>
  <c r="S29" i="20"/>
  <c r="S30" i="20"/>
  <c r="S31" i="20"/>
  <c r="S32" i="20"/>
  <c r="S33" i="20"/>
  <c r="S34" i="20"/>
  <c r="S35" i="20"/>
  <c r="S36" i="20"/>
  <c r="S37" i="20"/>
  <c r="S38" i="20"/>
  <c r="S39" i="20"/>
  <c r="S40" i="20"/>
  <c r="S41" i="20"/>
  <c r="S42" i="20"/>
  <c r="S43" i="20"/>
  <c r="S44" i="20"/>
  <c r="S45" i="20"/>
  <c r="S46" i="20"/>
  <c r="S47" i="20"/>
  <c r="S48" i="20"/>
  <c r="S49" i="20"/>
  <c r="S50" i="20"/>
  <c r="S51" i="20"/>
  <c r="S52" i="20"/>
  <c r="S53" i="20"/>
  <c r="S54" i="20"/>
  <c r="S55" i="20"/>
  <c r="S56" i="20"/>
  <c r="S57" i="20"/>
  <c r="S58" i="20"/>
  <c r="S59" i="20"/>
  <c r="S60" i="20"/>
  <c r="S61" i="20"/>
  <c r="S62" i="20"/>
  <c r="S63" i="20"/>
  <c r="S64" i="20"/>
  <c r="S65" i="20"/>
  <c r="S66" i="20"/>
  <c r="S67" i="20"/>
  <c r="S68" i="20"/>
  <c r="S69" i="20"/>
  <c r="S70" i="20"/>
  <c r="S71" i="20"/>
  <c r="S72" i="20"/>
  <c r="S73" i="20"/>
  <c r="S74" i="20"/>
  <c r="S75" i="20"/>
  <c r="S76" i="20"/>
  <c r="S77" i="20"/>
  <c r="S78" i="20"/>
  <c r="S79" i="20"/>
  <c r="S80" i="20"/>
  <c r="S81" i="20"/>
  <c r="S82" i="20"/>
  <c r="S83" i="20"/>
  <c r="S84" i="20"/>
  <c r="S85" i="20"/>
  <c r="S86" i="20"/>
  <c r="S87" i="20"/>
  <c r="S88" i="20"/>
  <c r="S89" i="20"/>
  <c r="S90" i="20"/>
  <c r="S91" i="20"/>
  <c r="S92" i="20"/>
  <c r="S93" i="20"/>
  <c r="S94" i="20"/>
  <c r="S95" i="20"/>
  <c r="S96" i="20"/>
  <c r="S97" i="20"/>
  <c r="S98" i="20"/>
  <c r="S99" i="20"/>
  <c r="S100" i="20"/>
  <c r="S101" i="20"/>
  <c r="S102" i="20"/>
  <c r="S103" i="20"/>
  <c r="S104" i="20"/>
  <c r="S105" i="20"/>
  <c r="S106" i="20"/>
  <c r="S107" i="20"/>
  <c r="S108" i="20"/>
  <c r="S109" i="20"/>
  <c r="S110" i="20"/>
  <c r="S111" i="20"/>
  <c r="S112" i="20"/>
  <c r="S113" i="20"/>
  <c r="S114" i="20"/>
  <c r="S115" i="20"/>
  <c r="S116" i="20"/>
  <c r="S117" i="20"/>
  <c r="S118" i="20"/>
  <c r="S119" i="20"/>
  <c r="S120" i="20"/>
  <c r="S121" i="20"/>
  <c r="S122" i="20"/>
  <c r="S123" i="20"/>
  <c r="S124" i="20"/>
  <c r="S125" i="20"/>
  <c r="S126" i="20"/>
  <c r="S127" i="20"/>
  <c r="S128" i="20"/>
  <c r="S129" i="20"/>
  <c r="S130" i="20"/>
  <c r="S131" i="20"/>
  <c r="S132" i="20"/>
  <c r="S133" i="20"/>
  <c r="S134" i="20"/>
  <c r="S135" i="20"/>
  <c r="S136" i="20"/>
  <c r="S137" i="20"/>
  <c r="S138" i="20"/>
  <c r="S139" i="20"/>
  <c r="S140" i="20"/>
  <c r="S141" i="20"/>
  <c r="S142" i="20"/>
  <c r="S143" i="20"/>
  <c r="S144" i="20"/>
  <c r="S145" i="20"/>
  <c r="S146" i="20"/>
  <c r="S147" i="20"/>
  <c r="S148" i="20"/>
  <c r="S149" i="20"/>
  <c r="S150" i="20"/>
  <c r="S151" i="20"/>
  <c r="S152" i="20"/>
  <c r="S153" i="20"/>
  <c r="S154" i="20"/>
  <c r="S155" i="20"/>
  <c r="S156" i="20"/>
  <c r="S157" i="20"/>
  <c r="S158" i="20"/>
  <c r="S159" i="20"/>
  <c r="S160" i="20"/>
  <c r="S161" i="20"/>
  <c r="S162" i="20"/>
  <c r="S163" i="20"/>
  <c r="S164" i="20"/>
  <c r="S165" i="20"/>
  <c r="S166" i="20"/>
  <c r="S167" i="20"/>
  <c r="S168" i="20"/>
  <c r="S169" i="20"/>
  <c r="S170" i="20"/>
  <c r="S171" i="20"/>
  <c r="S172" i="20"/>
  <c r="S173" i="20"/>
  <c r="S174" i="20"/>
  <c r="S175" i="20"/>
  <c r="S176" i="20"/>
  <c r="S177" i="20"/>
  <c r="S178" i="20"/>
  <c r="S179" i="20"/>
  <c r="S180" i="20"/>
  <c r="S181" i="20"/>
  <c r="S182" i="20"/>
  <c r="S183" i="20"/>
  <c r="S184" i="20"/>
  <c r="S185" i="20"/>
  <c r="S186" i="20"/>
  <c r="S187" i="20"/>
  <c r="S188" i="20"/>
  <c r="S189" i="20"/>
  <c r="S190" i="20"/>
  <c r="S191" i="20"/>
  <c r="S192" i="20"/>
  <c r="S193" i="20"/>
  <c r="S194" i="20"/>
  <c r="S195" i="20"/>
  <c r="S196" i="20"/>
  <c r="S197" i="20"/>
  <c r="S198" i="20"/>
  <c r="S199" i="20"/>
  <c r="S200" i="20"/>
  <c r="S201" i="20"/>
  <c r="S202" i="20"/>
  <c r="S203" i="20"/>
  <c r="S204" i="20"/>
  <c r="S205" i="20"/>
  <c r="S206" i="20"/>
  <c r="S207" i="20"/>
  <c r="S208" i="20"/>
  <c r="S209" i="20"/>
  <c r="S6" i="20"/>
  <c r="O7" i="20"/>
  <c r="O8" i="20"/>
  <c r="O9" i="20"/>
  <c r="O10"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77" i="20"/>
  <c r="O78" i="20"/>
  <c r="O79" i="20"/>
  <c r="O80" i="20"/>
  <c r="O81" i="20"/>
  <c r="O82" i="20"/>
  <c r="O83" i="20"/>
  <c r="O84" i="20"/>
  <c r="O85" i="20"/>
  <c r="O86" i="20"/>
  <c r="O87" i="20"/>
  <c r="O88" i="20"/>
  <c r="O89" i="20"/>
  <c r="O90" i="20"/>
  <c r="O91" i="20"/>
  <c r="O92" i="20"/>
  <c r="O93" i="20"/>
  <c r="O94" i="20"/>
  <c r="O95" i="20"/>
  <c r="O96" i="20"/>
  <c r="O97" i="20"/>
  <c r="O98" i="20"/>
  <c r="O99" i="20"/>
  <c r="O100" i="20"/>
  <c r="O101" i="20"/>
  <c r="O102" i="20"/>
  <c r="O103" i="20"/>
  <c r="O104" i="20"/>
  <c r="O105" i="20"/>
  <c r="O106" i="20"/>
  <c r="O107" i="20"/>
  <c r="O108" i="20"/>
  <c r="O109" i="20"/>
  <c r="O110" i="20"/>
  <c r="O111" i="20"/>
  <c r="O112" i="20"/>
  <c r="O113" i="20"/>
  <c r="O114" i="20"/>
  <c r="O115" i="20"/>
  <c r="O116" i="20"/>
  <c r="O117" i="20"/>
  <c r="O118" i="20"/>
  <c r="O119" i="20"/>
  <c r="O120" i="20"/>
  <c r="O121" i="20"/>
  <c r="O122" i="20"/>
  <c r="O123" i="20"/>
  <c r="O124" i="20"/>
  <c r="O125" i="20"/>
  <c r="O126" i="20"/>
  <c r="O127" i="20"/>
  <c r="O128" i="20"/>
  <c r="O129" i="20"/>
  <c r="O130" i="20"/>
  <c r="O131" i="20"/>
  <c r="O132" i="20"/>
  <c r="O133" i="20"/>
  <c r="O134" i="20"/>
  <c r="O135" i="20"/>
  <c r="O136" i="20"/>
  <c r="O137" i="20"/>
  <c r="O138" i="20"/>
  <c r="O139" i="20"/>
  <c r="O140" i="20"/>
  <c r="O141" i="20"/>
  <c r="O142" i="20"/>
  <c r="O143" i="20"/>
  <c r="O144" i="20"/>
  <c r="O145" i="20"/>
  <c r="O146" i="20"/>
  <c r="O147" i="20"/>
  <c r="O148" i="20"/>
  <c r="O149" i="20"/>
  <c r="O150" i="20"/>
  <c r="O151" i="20"/>
  <c r="O152" i="20"/>
  <c r="O153" i="20"/>
  <c r="O154" i="20"/>
  <c r="O155" i="20"/>
  <c r="O156" i="20"/>
  <c r="O157" i="20"/>
  <c r="O158" i="20"/>
  <c r="O159" i="20"/>
  <c r="O160" i="20"/>
  <c r="O161" i="20"/>
  <c r="O162" i="20"/>
  <c r="O163" i="20"/>
  <c r="O164" i="20"/>
  <c r="O165" i="20"/>
  <c r="O166" i="20"/>
  <c r="O167" i="20"/>
  <c r="O168" i="20"/>
  <c r="O169" i="20"/>
  <c r="O170" i="20"/>
  <c r="O171" i="20"/>
  <c r="O172" i="20"/>
  <c r="O173" i="20"/>
  <c r="O174" i="20"/>
  <c r="O175" i="20"/>
  <c r="O176" i="20"/>
  <c r="O177" i="20"/>
  <c r="O178" i="20"/>
  <c r="O179" i="20"/>
  <c r="O180" i="20"/>
  <c r="O181" i="20"/>
  <c r="O182" i="20"/>
  <c r="O183" i="20"/>
  <c r="O184" i="20"/>
  <c r="O185" i="20"/>
  <c r="O186" i="20"/>
  <c r="O187" i="20"/>
  <c r="O188" i="20"/>
  <c r="O189" i="20"/>
  <c r="O190" i="20"/>
  <c r="O191" i="20"/>
  <c r="O192" i="20"/>
  <c r="O193" i="20"/>
  <c r="O194" i="20"/>
  <c r="O195" i="20"/>
  <c r="O196" i="20"/>
  <c r="O197" i="20"/>
  <c r="O198" i="20"/>
  <c r="O199" i="20"/>
  <c r="O200" i="20"/>
  <c r="O201" i="20"/>
  <c r="O202" i="20"/>
  <c r="O203" i="20"/>
  <c r="O204" i="20"/>
  <c r="O205" i="20"/>
  <c r="O206" i="20"/>
  <c r="O207" i="20"/>
  <c r="O208" i="20"/>
  <c r="O209" i="20"/>
  <c r="O6" i="20"/>
  <c r="K7" i="20"/>
  <c r="K8" i="20"/>
  <c r="K9" i="20"/>
  <c r="K10" i="20"/>
  <c r="K11" i="20"/>
  <c r="K12" i="20"/>
  <c r="K13" i="20"/>
  <c r="K14"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K81" i="20"/>
  <c r="K82" i="20"/>
  <c r="K83" i="20"/>
  <c r="K84" i="20"/>
  <c r="K85" i="20"/>
  <c r="K86" i="20"/>
  <c r="K87" i="20"/>
  <c r="K88" i="20"/>
  <c r="K89" i="20"/>
  <c r="K90" i="20"/>
  <c r="K91" i="20"/>
  <c r="K92" i="20"/>
  <c r="K93" i="20"/>
  <c r="K94" i="20"/>
  <c r="K95" i="20"/>
  <c r="K96" i="20"/>
  <c r="K97" i="20"/>
  <c r="K98" i="20"/>
  <c r="K99" i="20"/>
  <c r="K100" i="20"/>
  <c r="K101" i="20"/>
  <c r="K102" i="20"/>
  <c r="K103" i="20"/>
  <c r="K104" i="20"/>
  <c r="K105" i="20"/>
  <c r="K106" i="20"/>
  <c r="K107" i="20"/>
  <c r="K108" i="20"/>
  <c r="K109" i="20"/>
  <c r="K110" i="20"/>
  <c r="K111" i="20"/>
  <c r="K112" i="20"/>
  <c r="K113" i="20"/>
  <c r="K114" i="20"/>
  <c r="K115" i="20"/>
  <c r="K116" i="20"/>
  <c r="K117" i="20"/>
  <c r="K118" i="20"/>
  <c r="K119" i="20"/>
  <c r="K120" i="20"/>
  <c r="K121" i="20"/>
  <c r="K122" i="20"/>
  <c r="K123" i="20"/>
  <c r="K124" i="20"/>
  <c r="K125" i="20"/>
  <c r="K126" i="20"/>
  <c r="K127" i="20"/>
  <c r="K128" i="20"/>
  <c r="K129" i="20"/>
  <c r="K130" i="20"/>
  <c r="K131" i="20"/>
  <c r="K132" i="20"/>
  <c r="K133" i="20"/>
  <c r="K134" i="20"/>
  <c r="K135" i="20"/>
  <c r="K136" i="20"/>
  <c r="K137" i="20"/>
  <c r="K138" i="20"/>
  <c r="K139" i="20"/>
  <c r="K140" i="20"/>
  <c r="K141" i="20"/>
  <c r="K142" i="20"/>
  <c r="K143" i="20"/>
  <c r="K144" i="20"/>
  <c r="K145" i="20"/>
  <c r="K146" i="20"/>
  <c r="K147" i="20"/>
  <c r="K148" i="20"/>
  <c r="K149" i="20"/>
  <c r="K150" i="20"/>
  <c r="K151" i="20"/>
  <c r="K152" i="20"/>
  <c r="K153" i="20"/>
  <c r="K154" i="20"/>
  <c r="K155" i="20"/>
  <c r="K156" i="20"/>
  <c r="K157" i="20"/>
  <c r="K158" i="20"/>
  <c r="K159" i="20"/>
  <c r="K160" i="20"/>
  <c r="K161" i="20"/>
  <c r="K162" i="20"/>
  <c r="K163" i="20"/>
  <c r="K164" i="20"/>
  <c r="K165" i="20"/>
  <c r="K166" i="20"/>
  <c r="K167" i="20"/>
  <c r="K168" i="20"/>
  <c r="K169" i="20"/>
  <c r="K170" i="20"/>
  <c r="K171" i="20"/>
  <c r="K172" i="20"/>
  <c r="K173" i="20"/>
  <c r="K174" i="20"/>
  <c r="K175" i="20"/>
  <c r="K176" i="20"/>
  <c r="K177" i="20"/>
  <c r="K178" i="20"/>
  <c r="K179" i="20"/>
  <c r="K180" i="20"/>
  <c r="K181" i="20"/>
  <c r="K182" i="20"/>
  <c r="K183" i="20"/>
  <c r="K184" i="20"/>
  <c r="K185" i="20"/>
  <c r="K186" i="20"/>
  <c r="K187" i="20"/>
  <c r="K188" i="20"/>
  <c r="K189" i="20"/>
  <c r="K190" i="20"/>
  <c r="K191" i="20"/>
  <c r="K192" i="20"/>
  <c r="K193" i="20"/>
  <c r="K194" i="20"/>
  <c r="K195" i="20"/>
  <c r="K196" i="20"/>
  <c r="K197" i="20"/>
  <c r="K198" i="20"/>
  <c r="K199" i="20"/>
  <c r="K200" i="20"/>
  <c r="K201" i="20"/>
  <c r="K202" i="20"/>
  <c r="K203" i="20"/>
  <c r="K204" i="20"/>
  <c r="K205" i="20"/>
  <c r="K206" i="20"/>
  <c r="K207" i="20"/>
  <c r="K208" i="20"/>
  <c r="K209" i="20"/>
  <c r="K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G58" i="20"/>
  <c r="G59" i="20"/>
  <c r="G60" i="20"/>
  <c r="G61" i="20"/>
  <c r="G62" i="20"/>
  <c r="G63" i="20"/>
  <c r="G64" i="20"/>
  <c r="G65" i="20"/>
  <c r="G66" i="20"/>
  <c r="G67" i="20"/>
  <c r="G68" i="20"/>
  <c r="G69" i="20"/>
  <c r="G70" i="20"/>
  <c r="G71" i="20"/>
  <c r="G72" i="20"/>
  <c r="G73" i="20"/>
  <c r="G74" i="20"/>
  <c r="G75" i="20"/>
  <c r="G76" i="20"/>
  <c r="G77" i="20"/>
  <c r="G78" i="20"/>
  <c r="G79" i="20"/>
  <c r="G80" i="20"/>
  <c r="G81" i="20"/>
  <c r="G82" i="20"/>
  <c r="G83" i="20"/>
  <c r="G84" i="20"/>
  <c r="G85" i="20"/>
  <c r="G86" i="20"/>
  <c r="G87" i="20"/>
  <c r="G88" i="20"/>
  <c r="G89" i="20"/>
  <c r="G90" i="20"/>
  <c r="G91" i="20"/>
  <c r="G92" i="20"/>
  <c r="G93" i="20"/>
  <c r="G94" i="20"/>
  <c r="G95" i="20"/>
  <c r="G96" i="20"/>
  <c r="G97" i="20"/>
  <c r="G98" i="20"/>
  <c r="G99" i="20"/>
  <c r="G100" i="20"/>
  <c r="G101" i="20"/>
  <c r="G102" i="20"/>
  <c r="G103" i="20"/>
  <c r="G104" i="20"/>
  <c r="G105" i="20"/>
  <c r="G106" i="20"/>
  <c r="G107" i="20"/>
  <c r="G108" i="20"/>
  <c r="G109" i="20"/>
  <c r="G110" i="20"/>
  <c r="G111" i="20"/>
  <c r="G112" i="20"/>
  <c r="G113" i="20"/>
  <c r="G114" i="20"/>
  <c r="G115" i="20"/>
  <c r="G116" i="20"/>
  <c r="G117" i="20"/>
  <c r="G118" i="20"/>
  <c r="G119" i="20"/>
  <c r="G120" i="20"/>
  <c r="G121" i="20"/>
  <c r="G122" i="20"/>
  <c r="G123" i="20"/>
  <c r="G124" i="20"/>
  <c r="G125" i="20"/>
  <c r="G126" i="20"/>
  <c r="G127" i="20"/>
  <c r="G128" i="20"/>
  <c r="G129" i="20"/>
  <c r="G130" i="20"/>
  <c r="G131" i="20"/>
  <c r="G132" i="20"/>
  <c r="G133" i="20"/>
  <c r="G134" i="20"/>
  <c r="G135" i="20"/>
  <c r="G136" i="20"/>
  <c r="G137" i="20"/>
  <c r="G138" i="20"/>
  <c r="G139" i="20"/>
  <c r="G140" i="20"/>
  <c r="G141" i="20"/>
  <c r="G142" i="20"/>
  <c r="G143" i="20"/>
  <c r="G144" i="20"/>
  <c r="G145" i="20"/>
  <c r="G146" i="20"/>
  <c r="G147" i="20"/>
  <c r="G148" i="20"/>
  <c r="G149" i="20"/>
  <c r="G150" i="20"/>
  <c r="G151" i="20"/>
  <c r="G152" i="20"/>
  <c r="G153" i="20"/>
  <c r="G154" i="20"/>
  <c r="G155" i="20"/>
  <c r="G156" i="20"/>
  <c r="G157" i="20"/>
  <c r="G158" i="20"/>
  <c r="G159" i="20"/>
  <c r="G160" i="20"/>
  <c r="G161" i="20"/>
  <c r="G162" i="20"/>
  <c r="G163" i="20"/>
  <c r="G164" i="20"/>
  <c r="G165" i="20"/>
  <c r="G166" i="20"/>
  <c r="G167" i="20"/>
  <c r="G168" i="20"/>
  <c r="G169" i="20"/>
  <c r="G170" i="20"/>
  <c r="G171" i="20"/>
  <c r="G172" i="20"/>
  <c r="G173" i="20"/>
  <c r="G174" i="20"/>
  <c r="G175" i="20"/>
  <c r="G176" i="20"/>
  <c r="G177" i="20"/>
  <c r="G178" i="20"/>
  <c r="G179" i="20"/>
  <c r="G180" i="20"/>
  <c r="G181" i="20"/>
  <c r="G182" i="20"/>
  <c r="G183" i="20"/>
  <c r="G184" i="20"/>
  <c r="G185" i="20"/>
  <c r="G186" i="20"/>
  <c r="G187" i="20"/>
  <c r="G188" i="20"/>
  <c r="G189" i="20"/>
  <c r="G190" i="20"/>
  <c r="G191" i="20"/>
  <c r="G192" i="20"/>
  <c r="G193" i="20"/>
  <c r="G194" i="20"/>
  <c r="G195" i="20"/>
  <c r="G196" i="20"/>
  <c r="G197" i="20"/>
  <c r="G198" i="20"/>
  <c r="G199" i="20"/>
  <c r="G200" i="20"/>
  <c r="G201" i="20"/>
  <c r="G202" i="20"/>
  <c r="G203" i="20"/>
  <c r="G204" i="20"/>
  <c r="G205" i="20"/>
  <c r="G206" i="20"/>
  <c r="G207" i="20"/>
  <c r="G208" i="20"/>
  <c r="G209" i="20"/>
  <c r="G6" i="20"/>
  <c r="AE6" i="15"/>
  <c r="AD6" i="15"/>
  <c r="N12" i="19"/>
  <c r="M53" i="14"/>
  <c r="AA6" i="9" l="1"/>
  <c r="AE6" i="9"/>
  <c r="J16" i="7"/>
  <c r="K16" i="7"/>
  <c r="L16" i="7"/>
  <c r="M16" i="7"/>
  <c r="M14" i="7"/>
  <c r="L13" i="7"/>
  <c r="K10" i="7"/>
  <c r="L10" i="7"/>
  <c r="J18" i="7" l="1"/>
  <c r="K18" i="7"/>
  <c r="L18" i="7"/>
  <c r="M18" i="7"/>
  <c r="I18" i="7"/>
  <c r="AA6" i="16"/>
  <c r="N6" i="16"/>
  <c r="AD6" i="16"/>
  <c r="J15" i="7"/>
  <c r="K15" i="7"/>
  <c r="L15" i="7"/>
  <c r="M15" i="7"/>
  <c r="I15" i="7"/>
  <c r="AB6" i="13"/>
  <c r="K14" i="7"/>
  <c r="L14" i="7"/>
  <c r="M9" i="7"/>
  <c r="J9" i="7"/>
  <c r="K9" i="7"/>
  <c r="L9" i="7"/>
  <c r="I9" i="7"/>
  <c r="H18" i="7"/>
  <c r="G18" i="7"/>
  <c r="F18" i="7"/>
  <c r="E18" i="7"/>
  <c r="D18" i="7"/>
  <c r="C18" i="7"/>
  <c r="J17" i="7"/>
  <c r="K17" i="7"/>
  <c r="L17" i="7"/>
  <c r="M17" i="7"/>
  <c r="I17" i="7"/>
  <c r="H17" i="7"/>
  <c r="G17" i="7"/>
  <c r="F17" i="7"/>
  <c r="E17" i="7"/>
  <c r="D17" i="7"/>
  <c r="C17" i="7"/>
  <c r="C16" i="7"/>
  <c r="H15" i="7"/>
  <c r="G15" i="7"/>
  <c r="F15" i="7"/>
  <c r="E15" i="7"/>
  <c r="D15" i="7"/>
  <c r="C15" i="7"/>
  <c r="C14" i="7"/>
  <c r="C13" i="7"/>
  <c r="J12" i="7"/>
  <c r="K12" i="7"/>
  <c r="L12" i="7"/>
  <c r="M12" i="7"/>
  <c r="H12" i="7"/>
  <c r="G12" i="7"/>
  <c r="F12" i="7"/>
  <c r="E12" i="7"/>
  <c r="D12" i="7"/>
  <c r="C12" i="7"/>
  <c r="J11" i="7"/>
  <c r="K11" i="7"/>
  <c r="L11" i="7"/>
  <c r="M11" i="7"/>
  <c r="I11" i="7"/>
  <c r="H11" i="7"/>
  <c r="G11" i="7"/>
  <c r="F11" i="7"/>
  <c r="E11" i="7"/>
  <c r="D11" i="7"/>
  <c r="C11" i="7"/>
  <c r="C10" i="7"/>
  <c r="C9" i="7"/>
  <c r="J8" i="7"/>
  <c r="K8" i="7"/>
  <c r="L8" i="7"/>
  <c r="M8" i="7"/>
  <c r="I8" i="7"/>
  <c r="H8" i="7"/>
  <c r="G8" i="7"/>
  <c r="F8" i="7"/>
  <c r="E8" i="7"/>
  <c r="D8" i="7"/>
  <c r="C8" i="7"/>
  <c r="J7" i="7"/>
  <c r="K7" i="7"/>
  <c r="L7" i="7"/>
  <c r="M7" i="7"/>
  <c r="I7" i="7"/>
  <c r="H7" i="7"/>
  <c r="G7" i="7"/>
  <c r="F7" i="7"/>
  <c r="E7" i="7"/>
  <c r="D7" i="7"/>
  <c r="C7" i="7"/>
  <c r="J6" i="7"/>
  <c r="K6" i="7"/>
  <c r="L6" i="7"/>
  <c r="M6" i="7"/>
  <c r="C6" i="7"/>
  <c r="AA6" i="19"/>
  <c r="I12" i="7" s="1"/>
  <c r="P6" i="19"/>
  <c r="Q6" i="19"/>
  <c r="R6" i="19"/>
  <c r="S6" i="19"/>
  <c r="T6" i="19"/>
  <c r="U6" i="19"/>
  <c r="W7" i="19" s="1"/>
  <c r="V6" i="19"/>
  <c r="W6" i="19"/>
  <c r="X6" i="19"/>
  <c r="Y6" i="19"/>
  <c r="Z6" i="19"/>
  <c r="O6" i="19"/>
  <c r="P22" i="19"/>
  <c r="Q22" i="19"/>
  <c r="R22" i="19"/>
  <c r="S22" i="19"/>
  <c r="T22" i="19"/>
  <c r="U22" i="19"/>
  <c r="V22" i="19"/>
  <c r="W22" i="19"/>
  <c r="X22" i="19"/>
  <c r="Y22" i="19"/>
  <c r="Z22" i="19"/>
  <c r="O22" i="19"/>
  <c r="P17" i="19"/>
  <c r="Q17" i="19"/>
  <c r="R17" i="19"/>
  <c r="S17" i="19"/>
  <c r="T17" i="19"/>
  <c r="U17" i="19"/>
  <c r="V17" i="19"/>
  <c r="W17" i="19"/>
  <c r="X17" i="19"/>
  <c r="Y17" i="19"/>
  <c r="Z17" i="19"/>
  <c r="O17" i="19"/>
  <c r="P12" i="19"/>
  <c r="Q12" i="19"/>
  <c r="R12" i="19"/>
  <c r="S12" i="19"/>
  <c r="T12" i="19"/>
  <c r="U12" i="19"/>
  <c r="V12" i="19"/>
  <c r="W12" i="19"/>
  <c r="X12" i="19"/>
  <c r="Y12" i="19"/>
  <c r="Z12" i="19"/>
  <c r="O12" i="19"/>
  <c r="N6" i="19"/>
  <c r="N17" i="19"/>
  <c r="N22" i="19"/>
  <c r="M25" i="19"/>
  <c r="M24" i="19"/>
  <c r="M20" i="19"/>
  <c r="M19" i="19"/>
  <c r="M15" i="19"/>
  <c r="M14" i="19"/>
  <c r="L55" i="19"/>
  <c r="Q7" i="19" l="1"/>
  <c r="Z7" i="19"/>
  <c r="T7" i="19"/>
  <c r="AB6" i="15" l="1"/>
  <c r="AB6" i="18"/>
  <c r="AA6" i="18"/>
  <c r="N71" i="18"/>
  <c r="AE6" i="18" s="1"/>
  <c r="AC6" i="18"/>
  <c r="P109" i="18"/>
  <c r="Q109" i="18"/>
  <c r="R109" i="18"/>
  <c r="S109" i="18"/>
  <c r="T109" i="18"/>
  <c r="U109" i="18"/>
  <c r="V109" i="18"/>
  <c r="W109" i="18"/>
  <c r="X109" i="18"/>
  <c r="Y109" i="18"/>
  <c r="Z109" i="18"/>
  <c r="O109" i="18"/>
  <c r="P71" i="18"/>
  <c r="Q71" i="18"/>
  <c r="R71" i="18"/>
  <c r="S71" i="18"/>
  <c r="T71" i="18"/>
  <c r="U71" i="18"/>
  <c r="V71" i="18"/>
  <c r="W71" i="18"/>
  <c r="X71" i="18"/>
  <c r="Y71" i="18"/>
  <c r="Z71" i="18"/>
  <c r="O71" i="18"/>
  <c r="P29" i="18"/>
  <c r="Q29" i="18"/>
  <c r="R29" i="18"/>
  <c r="S29" i="18"/>
  <c r="T29" i="18"/>
  <c r="U29" i="18"/>
  <c r="V29" i="18"/>
  <c r="W29" i="18"/>
  <c r="X29" i="18"/>
  <c r="Y29" i="18"/>
  <c r="Z29" i="18"/>
  <c r="O29" i="18"/>
  <c r="P23" i="18"/>
  <c r="Q23" i="18"/>
  <c r="R23" i="18"/>
  <c r="S23" i="18"/>
  <c r="T23" i="18"/>
  <c r="U23" i="18"/>
  <c r="V23" i="18"/>
  <c r="W23" i="18"/>
  <c r="X23" i="18"/>
  <c r="Y23" i="18"/>
  <c r="Z23" i="18"/>
  <c r="O23" i="18"/>
  <c r="P15" i="18"/>
  <c r="P6" i="18" s="1"/>
  <c r="Q15" i="18"/>
  <c r="R15" i="18"/>
  <c r="S15" i="18"/>
  <c r="T15" i="18"/>
  <c r="U15" i="18"/>
  <c r="U6" i="18" s="1"/>
  <c r="W7" i="18" s="1"/>
  <c r="V15" i="18"/>
  <c r="W15" i="18"/>
  <c r="W6" i="18" s="1"/>
  <c r="X15" i="18"/>
  <c r="X6" i="18" s="1"/>
  <c r="Y15" i="18"/>
  <c r="Z15" i="18"/>
  <c r="O15" i="18"/>
  <c r="P11" i="18"/>
  <c r="Q11" i="18"/>
  <c r="Q6" i="18" s="1"/>
  <c r="R11" i="18"/>
  <c r="R6" i="18" s="1"/>
  <c r="T7" i="18" s="1"/>
  <c r="S11" i="18"/>
  <c r="S6" i="18" s="1"/>
  <c r="T11" i="18"/>
  <c r="T6" i="18" s="1"/>
  <c r="U11" i="18"/>
  <c r="V11" i="18"/>
  <c r="V6" i="18" s="1"/>
  <c r="W11" i="18"/>
  <c r="X11" i="18"/>
  <c r="Y11" i="18"/>
  <c r="Y6" i="18" s="1"/>
  <c r="Z11" i="18"/>
  <c r="Z6" i="18" s="1"/>
  <c r="O11" i="18"/>
  <c r="O6" i="18" s="1"/>
  <c r="N109" i="18"/>
  <c r="N29" i="18"/>
  <c r="N23" i="18"/>
  <c r="N15" i="18"/>
  <c r="N11" i="18"/>
  <c r="N6" i="18" s="1"/>
  <c r="F99" i="18"/>
  <c r="AB26" i="18"/>
  <c r="AC6" i="10"/>
  <c r="AA6" i="10"/>
  <c r="AE6" i="10"/>
  <c r="AA6" i="8"/>
  <c r="AE6" i="6"/>
  <c r="AA6" i="6"/>
  <c r="Z7" i="18" l="1"/>
  <c r="Q7" i="18"/>
  <c r="W157" i="18"/>
  <c r="T157" i="18"/>
  <c r="Z157" i="18"/>
  <c r="Q157" i="18"/>
  <c r="N157" i="18"/>
  <c r="AC6" i="17"/>
  <c r="P51" i="17"/>
  <c r="Q51" i="17"/>
  <c r="R51" i="17"/>
  <c r="S51" i="17"/>
  <c r="T51" i="17"/>
  <c r="U51" i="17"/>
  <c r="V51" i="17"/>
  <c r="W51" i="17"/>
  <c r="X51" i="17"/>
  <c r="Y51" i="17"/>
  <c r="Z51" i="17"/>
  <c r="O51" i="17"/>
  <c r="N51" i="17"/>
  <c r="P47" i="17"/>
  <c r="Q47" i="17"/>
  <c r="R47" i="17"/>
  <c r="S47" i="17"/>
  <c r="T47" i="17"/>
  <c r="U47" i="17"/>
  <c r="V47" i="17"/>
  <c r="W47" i="17"/>
  <c r="X47" i="17"/>
  <c r="Y47" i="17"/>
  <c r="Z47" i="17"/>
  <c r="O47" i="17"/>
  <c r="N47" i="17"/>
  <c r="P43" i="17"/>
  <c r="Q43" i="17"/>
  <c r="R43" i="17"/>
  <c r="S43" i="17"/>
  <c r="T43" i="17"/>
  <c r="U43" i="17"/>
  <c r="V43" i="17"/>
  <c r="W43" i="17"/>
  <c r="X43" i="17"/>
  <c r="Y43" i="17"/>
  <c r="Z43" i="17"/>
  <c r="O43" i="17"/>
  <c r="N43" i="17"/>
  <c r="P40" i="17"/>
  <c r="Q40" i="17"/>
  <c r="R40" i="17"/>
  <c r="S40" i="17"/>
  <c r="T40" i="17"/>
  <c r="U40" i="17"/>
  <c r="V40" i="17"/>
  <c r="W40" i="17"/>
  <c r="X40" i="17"/>
  <c r="Y40" i="17"/>
  <c r="Z40" i="17"/>
  <c r="O40" i="17"/>
  <c r="N40" i="17"/>
  <c r="P37" i="17"/>
  <c r="Q37" i="17"/>
  <c r="R37" i="17"/>
  <c r="S37" i="17"/>
  <c r="T37" i="17"/>
  <c r="U37" i="17"/>
  <c r="V37" i="17"/>
  <c r="W37" i="17"/>
  <c r="X37" i="17"/>
  <c r="Y37" i="17"/>
  <c r="Z37" i="17"/>
  <c r="O37" i="17"/>
  <c r="N37" i="17"/>
  <c r="P32" i="17"/>
  <c r="Q32" i="17"/>
  <c r="R32" i="17"/>
  <c r="S32" i="17"/>
  <c r="T32" i="17"/>
  <c r="U32" i="17"/>
  <c r="V32" i="17"/>
  <c r="W32" i="17"/>
  <c r="X32" i="17"/>
  <c r="Y32" i="17"/>
  <c r="Z32" i="17"/>
  <c r="O32" i="17"/>
  <c r="N32" i="17"/>
  <c r="P28" i="17"/>
  <c r="Q28" i="17"/>
  <c r="R28" i="17"/>
  <c r="S28" i="17"/>
  <c r="T28" i="17"/>
  <c r="U28" i="17"/>
  <c r="V28" i="17"/>
  <c r="W28" i="17"/>
  <c r="X28" i="17"/>
  <c r="Y28" i="17"/>
  <c r="Z28" i="17"/>
  <c r="O28" i="17"/>
  <c r="N28" i="17"/>
  <c r="P22" i="17"/>
  <c r="Q22" i="17"/>
  <c r="R22" i="17"/>
  <c r="S22" i="17"/>
  <c r="T22" i="17"/>
  <c r="U22" i="17"/>
  <c r="V22" i="17"/>
  <c r="W22" i="17"/>
  <c r="X22" i="17"/>
  <c r="Y22" i="17"/>
  <c r="Z22" i="17"/>
  <c r="O22" i="17"/>
  <c r="N22" i="17"/>
  <c r="P18" i="17"/>
  <c r="Q18" i="17"/>
  <c r="R18" i="17"/>
  <c r="S18" i="17"/>
  <c r="T18" i="17"/>
  <c r="U18" i="17"/>
  <c r="U6" i="17" s="1"/>
  <c r="V18" i="17"/>
  <c r="W18" i="17"/>
  <c r="X18" i="17"/>
  <c r="Y18" i="17"/>
  <c r="Z18" i="17"/>
  <c r="O18" i="17"/>
  <c r="N18" i="17"/>
  <c r="P15" i="17"/>
  <c r="Q15" i="17"/>
  <c r="R15" i="17"/>
  <c r="S15" i="17"/>
  <c r="T15" i="17"/>
  <c r="U15" i="17"/>
  <c r="V15" i="17"/>
  <c r="W15" i="17"/>
  <c r="X15" i="17"/>
  <c r="X6" i="17" s="1"/>
  <c r="Y15" i="17"/>
  <c r="Z15" i="17"/>
  <c r="O15" i="17"/>
  <c r="N15" i="17"/>
  <c r="P11" i="17"/>
  <c r="Q11" i="17"/>
  <c r="Q6" i="17" s="1"/>
  <c r="R11" i="17"/>
  <c r="R6" i="17" s="1"/>
  <c r="S11" i="17"/>
  <c r="S6" i="17" s="1"/>
  <c r="T11" i="17"/>
  <c r="T6" i="17" s="1"/>
  <c r="U11" i="17"/>
  <c r="V11" i="17"/>
  <c r="V6" i="17" s="1"/>
  <c r="W11" i="17"/>
  <c r="W6" i="17" s="1"/>
  <c r="X11" i="17"/>
  <c r="Y11" i="17"/>
  <c r="Y6" i="17" s="1"/>
  <c r="Z11" i="17"/>
  <c r="Z6" i="17" s="1"/>
  <c r="O11" i="17"/>
  <c r="O6" i="17" s="1"/>
  <c r="N11" i="17"/>
  <c r="N6" i="17" s="1"/>
  <c r="D16" i="7" s="1"/>
  <c r="P6" i="17" l="1"/>
  <c r="AA6" i="17"/>
  <c r="I16" i="7" s="1"/>
  <c r="T7" i="17"/>
  <c r="F16" i="7" s="1"/>
  <c r="W7" i="17"/>
  <c r="G16" i="7" s="1"/>
  <c r="Q7" i="17"/>
  <c r="E16" i="7" s="1"/>
  <c r="Z7" i="17"/>
  <c r="H16" i="7" s="1"/>
  <c r="M103" i="15" l="1"/>
  <c r="N102" i="15" s="1"/>
  <c r="M82" i="15"/>
  <c r="M81" i="15"/>
  <c r="M79" i="15"/>
  <c r="N77" i="15" s="1"/>
  <c r="M76" i="15"/>
  <c r="N74" i="15" s="1"/>
  <c r="M75" i="15"/>
  <c r="Z133" i="15"/>
  <c r="Y133" i="15"/>
  <c r="X133" i="15"/>
  <c r="W133" i="15"/>
  <c r="V133" i="15"/>
  <c r="U133" i="15"/>
  <c r="T133" i="15"/>
  <c r="S133" i="15"/>
  <c r="R133" i="15"/>
  <c r="Q133" i="15"/>
  <c r="P133" i="15"/>
  <c r="O133" i="15"/>
  <c r="N133" i="15"/>
  <c r="M132" i="15"/>
  <c r="M131" i="15"/>
  <c r="N130" i="15" s="1"/>
  <c r="Z130" i="15"/>
  <c r="Y130" i="15"/>
  <c r="X130" i="15"/>
  <c r="W130" i="15"/>
  <c r="V130" i="15"/>
  <c r="U130" i="15"/>
  <c r="T130" i="15"/>
  <c r="S130" i="15"/>
  <c r="R130" i="15"/>
  <c r="Q130" i="15"/>
  <c r="P130" i="15"/>
  <c r="O130" i="15"/>
  <c r="Z125" i="15"/>
  <c r="Y125" i="15"/>
  <c r="X125" i="15"/>
  <c r="W125" i="15"/>
  <c r="V125" i="15"/>
  <c r="U125" i="15"/>
  <c r="T125" i="15"/>
  <c r="S125" i="15"/>
  <c r="R125" i="15"/>
  <c r="Q125" i="15"/>
  <c r="P125" i="15"/>
  <c r="O125" i="15"/>
  <c r="N125" i="15"/>
  <c r="N123" i="15"/>
  <c r="Z121" i="15"/>
  <c r="Y121" i="15"/>
  <c r="X121" i="15"/>
  <c r="W121" i="15"/>
  <c r="V121" i="15"/>
  <c r="U121" i="15"/>
  <c r="T121" i="15"/>
  <c r="S121" i="15"/>
  <c r="R121" i="15"/>
  <c r="Q121" i="15"/>
  <c r="P121" i="15"/>
  <c r="O121" i="15"/>
  <c r="R120" i="15"/>
  <c r="M120" i="15"/>
  <c r="R119" i="15"/>
  <c r="R116" i="15" s="1"/>
  <c r="M119" i="15"/>
  <c r="U118" i="15"/>
  <c r="S118" i="15"/>
  <c r="Q118" i="15"/>
  <c r="O118" i="15"/>
  <c r="O116" i="15" s="1"/>
  <c r="M118" i="15"/>
  <c r="N116" i="15" s="1"/>
  <c r="U117" i="15"/>
  <c r="S117" i="15"/>
  <c r="S116" i="15" s="1"/>
  <c r="Q117" i="15"/>
  <c r="O117" i="15"/>
  <c r="M117" i="15"/>
  <c r="Z116" i="15"/>
  <c r="Y116" i="15"/>
  <c r="X116" i="15"/>
  <c r="W116" i="15"/>
  <c r="V116" i="15"/>
  <c r="U116" i="15"/>
  <c r="T116" i="15"/>
  <c r="Q116" i="15"/>
  <c r="P116" i="15"/>
  <c r="V115" i="15"/>
  <c r="R115" i="15"/>
  <c r="M115" i="15"/>
  <c r="V114" i="15"/>
  <c r="R114" i="15"/>
  <c r="R107" i="15" s="1"/>
  <c r="M114" i="15"/>
  <c r="X113" i="15"/>
  <c r="V113" i="15"/>
  <c r="T113" i="15"/>
  <c r="R113" i="15"/>
  <c r="P113" i="15"/>
  <c r="M113" i="15"/>
  <c r="P112" i="15"/>
  <c r="M112" i="15"/>
  <c r="Z111" i="15"/>
  <c r="Y111" i="15"/>
  <c r="Y107" i="15" s="1"/>
  <c r="X111" i="15"/>
  <c r="W111" i="15"/>
  <c r="V111" i="15"/>
  <c r="U111" i="15"/>
  <c r="T111" i="15"/>
  <c r="S111" i="15"/>
  <c r="S107" i="15" s="1"/>
  <c r="R111" i="15"/>
  <c r="Q111" i="15"/>
  <c r="P111" i="15"/>
  <c r="M111" i="15"/>
  <c r="Z110" i="15"/>
  <c r="Y110" i="15"/>
  <c r="X110" i="15"/>
  <c r="X107" i="15" s="1"/>
  <c r="W110" i="15"/>
  <c r="W107" i="15" s="1"/>
  <c r="V110" i="15"/>
  <c r="U110" i="15"/>
  <c r="T110" i="15"/>
  <c r="T107" i="15" s="1"/>
  <c r="S110" i="15"/>
  <c r="R110" i="15"/>
  <c r="Q110" i="15"/>
  <c r="P110" i="15"/>
  <c r="M110" i="15"/>
  <c r="W109" i="15"/>
  <c r="V109" i="15"/>
  <c r="U109" i="15"/>
  <c r="T109" i="15"/>
  <c r="S109" i="15"/>
  <c r="R109" i="15"/>
  <c r="Q109" i="15"/>
  <c r="Q107" i="15" s="1"/>
  <c r="P109" i="15"/>
  <c r="P107" i="15" s="1"/>
  <c r="M109" i="15"/>
  <c r="M108" i="15"/>
  <c r="Z107" i="15"/>
  <c r="V107" i="15"/>
  <c r="U107" i="15"/>
  <c r="O107" i="15"/>
  <c r="N107" i="15"/>
  <c r="M106" i="15"/>
  <c r="N104" i="15" s="1"/>
  <c r="M105" i="15"/>
  <c r="Z104" i="15"/>
  <c r="Y104" i="15"/>
  <c r="X104" i="15"/>
  <c r="W104" i="15"/>
  <c r="V104" i="15"/>
  <c r="U104" i="15"/>
  <c r="T104" i="15"/>
  <c r="S104" i="15"/>
  <c r="R104" i="15"/>
  <c r="Q104" i="15"/>
  <c r="P104" i="15"/>
  <c r="O104" i="15"/>
  <c r="Z102" i="15"/>
  <c r="Y102" i="15"/>
  <c r="X102" i="15"/>
  <c r="W102" i="15"/>
  <c r="V102" i="15"/>
  <c r="U102" i="15"/>
  <c r="T102" i="15"/>
  <c r="S102" i="15"/>
  <c r="R102" i="15"/>
  <c r="Q102" i="15"/>
  <c r="P102" i="15"/>
  <c r="O102" i="15"/>
  <c r="M101" i="15"/>
  <c r="M100" i="15"/>
  <c r="M99" i="15"/>
  <c r="M98" i="15"/>
  <c r="N97" i="15" s="1"/>
  <c r="Z97" i="15"/>
  <c r="Y97" i="15"/>
  <c r="X97" i="15"/>
  <c r="W97" i="15"/>
  <c r="V97" i="15"/>
  <c r="U97" i="15"/>
  <c r="T97" i="15"/>
  <c r="S97" i="15"/>
  <c r="R97" i="15"/>
  <c r="Q97" i="15"/>
  <c r="P97" i="15"/>
  <c r="O97" i="15"/>
  <c r="Z96" i="15"/>
  <c r="X96" i="15"/>
  <c r="V96" i="15"/>
  <c r="T96" i="15"/>
  <c r="R96" i="15"/>
  <c r="P96" i="15"/>
  <c r="M96" i="15"/>
  <c r="M95" i="15"/>
  <c r="Z93" i="15"/>
  <c r="X93" i="15"/>
  <c r="X90" i="15" s="1"/>
  <c r="V93" i="15"/>
  <c r="V90" i="15" s="1"/>
  <c r="T93" i="15"/>
  <c r="R93" i="15"/>
  <c r="P93" i="15"/>
  <c r="P90" i="15" s="1"/>
  <c r="M93" i="15"/>
  <c r="P92" i="15"/>
  <c r="M92" i="15"/>
  <c r="Z90" i="15"/>
  <c r="Y90" i="15"/>
  <c r="W90" i="15"/>
  <c r="U90" i="15"/>
  <c r="T90" i="15"/>
  <c r="S90" i="15"/>
  <c r="R90" i="15"/>
  <c r="Q90" i="15"/>
  <c r="O90" i="15"/>
  <c r="N90" i="15"/>
  <c r="Z89" i="15"/>
  <c r="Y89" i="15"/>
  <c r="X89" i="15"/>
  <c r="W89" i="15"/>
  <c r="W87" i="15" s="1"/>
  <c r="V89" i="15"/>
  <c r="V87" i="15" s="1"/>
  <c r="U89" i="15"/>
  <c r="T89" i="15"/>
  <c r="S89" i="15"/>
  <c r="S87" i="15" s="1"/>
  <c r="R89" i="15"/>
  <c r="Q89" i="15"/>
  <c r="P89" i="15"/>
  <c r="O89" i="15"/>
  <c r="O87" i="15" s="1"/>
  <c r="M89" i="15"/>
  <c r="N87" i="15" s="1"/>
  <c r="M88" i="15"/>
  <c r="Z87" i="15"/>
  <c r="Y87" i="15"/>
  <c r="X87" i="15"/>
  <c r="U87" i="15"/>
  <c r="T87" i="15"/>
  <c r="R87" i="15"/>
  <c r="Q87" i="15"/>
  <c r="P87" i="15"/>
  <c r="N80" i="15"/>
  <c r="Z80" i="15"/>
  <c r="Y80" i="15"/>
  <c r="X80" i="15"/>
  <c r="W80" i="15"/>
  <c r="V80" i="15"/>
  <c r="U80" i="15"/>
  <c r="T80" i="15"/>
  <c r="S80" i="15"/>
  <c r="R80" i="15"/>
  <c r="Q80" i="15"/>
  <c r="P80" i="15"/>
  <c r="O80" i="15"/>
  <c r="M78" i="15"/>
  <c r="Z77" i="15"/>
  <c r="Y77" i="15"/>
  <c r="X77" i="15"/>
  <c r="W77" i="15"/>
  <c r="V77" i="15"/>
  <c r="U77" i="15"/>
  <c r="T77" i="15"/>
  <c r="S77" i="15"/>
  <c r="R77" i="15"/>
  <c r="Q77" i="15"/>
  <c r="P77" i="15"/>
  <c r="O77" i="15"/>
  <c r="Z74" i="15"/>
  <c r="Y74" i="15"/>
  <c r="X74" i="15"/>
  <c r="W74" i="15"/>
  <c r="V74" i="15"/>
  <c r="U74" i="15"/>
  <c r="T74" i="15"/>
  <c r="S74" i="15"/>
  <c r="R74" i="15"/>
  <c r="Q74" i="15"/>
  <c r="P74" i="15"/>
  <c r="O74" i="15"/>
  <c r="M72" i="15"/>
  <c r="N70" i="15" s="1"/>
  <c r="Z70" i="15"/>
  <c r="Y70" i="15"/>
  <c r="X70" i="15"/>
  <c r="W70" i="15"/>
  <c r="V70" i="15"/>
  <c r="U70" i="15"/>
  <c r="T70" i="15"/>
  <c r="S70" i="15"/>
  <c r="R70" i="15"/>
  <c r="Q70" i="15"/>
  <c r="P70" i="15"/>
  <c r="O70" i="15"/>
  <c r="M68" i="15"/>
  <c r="Z65" i="15"/>
  <c r="Y65" i="15"/>
  <c r="X65" i="15"/>
  <c r="W65" i="15"/>
  <c r="V65" i="15"/>
  <c r="U65" i="15"/>
  <c r="T65" i="15"/>
  <c r="S65" i="15"/>
  <c r="R65" i="15"/>
  <c r="Q65" i="15"/>
  <c r="P65" i="15"/>
  <c r="O65" i="15"/>
  <c r="N65" i="15"/>
  <c r="Y64" i="15"/>
  <c r="X64" i="15"/>
  <c r="M64" i="15"/>
  <c r="X63" i="15"/>
  <c r="X62" i="15" s="1"/>
  <c r="M63" i="15"/>
  <c r="N62" i="15" s="1"/>
  <c r="Z62" i="15"/>
  <c r="W62" i="15"/>
  <c r="V62" i="15"/>
  <c r="U62" i="15"/>
  <c r="T62" i="15"/>
  <c r="S62" i="15"/>
  <c r="R62" i="15"/>
  <c r="Q62" i="15"/>
  <c r="P62" i="15"/>
  <c r="O62" i="15"/>
  <c r="R61" i="15"/>
  <c r="R53" i="15" s="1"/>
  <c r="M61" i="15"/>
  <c r="W61" i="15" s="1"/>
  <c r="R60" i="15"/>
  <c r="M60" i="15"/>
  <c r="W60" i="15" s="1"/>
  <c r="M59" i="15"/>
  <c r="V59" i="15" s="1"/>
  <c r="V58" i="15"/>
  <c r="Q58" i="15"/>
  <c r="M58" i="15"/>
  <c r="V57" i="15"/>
  <c r="Q57" i="15"/>
  <c r="M57" i="15"/>
  <c r="M56" i="15"/>
  <c r="N53" i="15" s="1"/>
  <c r="V55" i="15"/>
  <c r="M55" i="15"/>
  <c r="Q55" i="15" s="1"/>
  <c r="V54" i="15"/>
  <c r="Q54" i="15"/>
  <c r="M54" i="15"/>
  <c r="Z53" i="15"/>
  <c r="Y53" i="15"/>
  <c r="X53" i="15"/>
  <c r="U53" i="15"/>
  <c r="T53" i="15"/>
  <c r="S53" i="15"/>
  <c r="P53" i="15"/>
  <c r="O53" i="15"/>
  <c r="W52" i="15"/>
  <c r="M52" i="15"/>
  <c r="R52" i="15" s="1"/>
  <c r="R51" i="15"/>
  <c r="M51" i="15"/>
  <c r="W51" i="15" s="1"/>
  <c r="R50" i="15"/>
  <c r="M50" i="15"/>
  <c r="W50" i="15" s="1"/>
  <c r="M49" i="15"/>
  <c r="W49" i="15" s="1"/>
  <c r="W48" i="15"/>
  <c r="R48" i="15"/>
  <c r="M48" i="15"/>
  <c r="V47" i="15"/>
  <c r="Q47" i="15"/>
  <c r="M47" i="15"/>
  <c r="M46" i="15"/>
  <c r="N45" i="15" s="1"/>
  <c r="Z45" i="15"/>
  <c r="Y45" i="15"/>
  <c r="X45" i="15"/>
  <c r="U45" i="15"/>
  <c r="T45" i="15"/>
  <c r="S45" i="15"/>
  <c r="P45" i="15"/>
  <c r="O45" i="15"/>
  <c r="M43" i="15"/>
  <c r="M42" i="15"/>
  <c r="M41" i="15"/>
  <c r="M40" i="15"/>
  <c r="M39" i="15"/>
  <c r="M38" i="15"/>
  <c r="M37" i="15"/>
  <c r="M36" i="15"/>
  <c r="M35" i="15"/>
  <c r="M34" i="15"/>
  <c r="M33" i="15"/>
  <c r="M32" i="15"/>
  <c r="N31" i="15" s="1"/>
  <c r="Z31" i="15"/>
  <c r="Y31" i="15"/>
  <c r="X31" i="15"/>
  <c r="W31" i="15"/>
  <c r="V31" i="15"/>
  <c r="U31" i="15"/>
  <c r="T31" i="15"/>
  <c r="S31" i="15"/>
  <c r="R31" i="15"/>
  <c r="Q31" i="15"/>
  <c r="P31" i="15"/>
  <c r="O31" i="15"/>
  <c r="M30" i="15"/>
  <c r="M29" i="15"/>
  <c r="M28" i="15"/>
  <c r="M27" i="15"/>
  <c r="M26" i="15"/>
  <c r="Z25" i="15"/>
  <c r="Y25" i="15"/>
  <c r="X25" i="15"/>
  <c r="W25" i="15"/>
  <c r="V25" i="15"/>
  <c r="U25" i="15"/>
  <c r="T25" i="15"/>
  <c r="S25" i="15"/>
  <c r="R25" i="15"/>
  <c r="Q25" i="15"/>
  <c r="P25" i="15"/>
  <c r="O25" i="15"/>
  <c r="N25" i="15"/>
  <c r="M22" i="15"/>
  <c r="M21" i="15"/>
  <c r="M18" i="15"/>
  <c r="M17" i="15"/>
  <c r="M16" i="15"/>
  <c r="M15" i="15"/>
  <c r="M14" i="15"/>
  <c r="M13" i="15"/>
  <c r="Z12" i="15"/>
  <c r="Z6" i="15" s="1"/>
  <c r="Y12" i="15"/>
  <c r="Y6" i="15" s="1"/>
  <c r="X12" i="15"/>
  <c r="X6" i="15" s="1"/>
  <c r="Z7" i="15" s="1"/>
  <c r="H6" i="7" s="1"/>
  <c r="W12" i="15"/>
  <c r="W6" i="15" s="1"/>
  <c r="V12" i="15"/>
  <c r="V6" i="15" s="1"/>
  <c r="U12" i="15"/>
  <c r="U6" i="15" s="1"/>
  <c r="T12" i="15"/>
  <c r="T6" i="15" s="1"/>
  <c r="S12" i="15"/>
  <c r="S6" i="15" s="1"/>
  <c r="R12" i="15"/>
  <c r="R6" i="15" s="1"/>
  <c r="Q12" i="15"/>
  <c r="Q6" i="15" s="1"/>
  <c r="P12" i="15"/>
  <c r="P6" i="15" s="1"/>
  <c r="O12" i="15"/>
  <c r="O6" i="15" s="1"/>
  <c r="N12" i="15"/>
  <c r="P119" i="12"/>
  <c r="Q119" i="12"/>
  <c r="R119" i="12"/>
  <c r="S119" i="12"/>
  <c r="T119" i="12"/>
  <c r="U119" i="12"/>
  <c r="V119" i="12"/>
  <c r="W119" i="12"/>
  <c r="X119" i="12"/>
  <c r="Y119" i="12"/>
  <c r="Z119" i="12"/>
  <c r="O119" i="12"/>
  <c r="P42" i="12"/>
  <c r="Q42" i="12"/>
  <c r="R42" i="12"/>
  <c r="S42" i="12"/>
  <c r="T42" i="12"/>
  <c r="U42" i="12"/>
  <c r="V42" i="12"/>
  <c r="W42" i="12"/>
  <c r="X42" i="12"/>
  <c r="Y42" i="12"/>
  <c r="Z42" i="12"/>
  <c r="O42" i="12"/>
  <c r="M16" i="12"/>
  <c r="M13" i="12"/>
  <c r="M12" i="12"/>
  <c r="T7" i="15" l="1"/>
  <c r="F6" i="7" s="1"/>
  <c r="W7" i="15"/>
  <c r="G6" i="7" s="1"/>
  <c r="N6" i="15"/>
  <c r="D6" i="7" s="1"/>
  <c r="AA6" i="15"/>
  <c r="I6" i="7" s="1"/>
  <c r="W53" i="15"/>
  <c r="W45" i="15"/>
  <c r="Q7" i="15"/>
  <c r="E6" i="7" s="1"/>
  <c r="V53" i="15"/>
  <c r="Q46" i="15"/>
  <c r="Q45" i="15" s="1"/>
  <c r="Q56" i="15"/>
  <c r="Y63" i="15"/>
  <c r="Y62" i="15" s="1"/>
  <c r="V46" i="15"/>
  <c r="V45" i="15" s="1"/>
  <c r="R49" i="15"/>
  <c r="R45" i="15" s="1"/>
  <c r="V56" i="15"/>
  <c r="Q59" i="15"/>
  <c r="Q53" i="15" s="1"/>
  <c r="P85" i="12" l="1"/>
  <c r="P52" i="12"/>
  <c r="P122" i="12"/>
  <c r="Q122" i="12"/>
  <c r="R122" i="12"/>
  <c r="S122" i="12"/>
  <c r="T122" i="12"/>
  <c r="U122" i="12"/>
  <c r="V122" i="12"/>
  <c r="W122" i="12"/>
  <c r="X122" i="12"/>
  <c r="Y122" i="12"/>
  <c r="Z122" i="12"/>
  <c r="O122" i="12"/>
  <c r="S116" i="12"/>
  <c r="M117" i="12"/>
  <c r="M69" i="12"/>
  <c r="M51" i="12"/>
  <c r="M50" i="12"/>
  <c r="Q47" i="12"/>
  <c r="Q46" i="12" s="1"/>
  <c r="P47" i="12"/>
  <c r="P46" i="12" s="1"/>
  <c r="M47" i="12"/>
  <c r="N46" i="12" s="1"/>
  <c r="M126" i="12"/>
  <c r="N122" i="12" s="1"/>
  <c r="M121" i="12"/>
  <c r="M120" i="12"/>
  <c r="N119" i="12" s="1"/>
  <c r="M118" i="12"/>
  <c r="Z116" i="12"/>
  <c r="Y116" i="12"/>
  <c r="X116" i="12"/>
  <c r="W116" i="12"/>
  <c r="V116" i="12"/>
  <c r="U116" i="12"/>
  <c r="T116" i="12"/>
  <c r="R116" i="12"/>
  <c r="Q116" i="12"/>
  <c r="P116" i="12"/>
  <c r="O116" i="12"/>
  <c r="M115" i="12"/>
  <c r="N113" i="12" s="1"/>
  <c r="M114" i="12"/>
  <c r="Z113" i="12"/>
  <c r="Y113" i="12"/>
  <c r="X113" i="12"/>
  <c r="W113" i="12"/>
  <c r="V113" i="12"/>
  <c r="U113" i="12"/>
  <c r="T113" i="12"/>
  <c r="S113" i="12"/>
  <c r="R113" i="12"/>
  <c r="Q113" i="12"/>
  <c r="P113" i="12"/>
  <c r="O113" i="12"/>
  <c r="M112" i="12"/>
  <c r="N110" i="12" s="1"/>
  <c r="R110" i="12"/>
  <c r="M111" i="12"/>
  <c r="Z110" i="12"/>
  <c r="Y110" i="12"/>
  <c r="X110" i="12"/>
  <c r="W110" i="12"/>
  <c r="V110" i="12"/>
  <c r="U110" i="12"/>
  <c r="T110" i="12"/>
  <c r="S110" i="12"/>
  <c r="Q110" i="12"/>
  <c r="P110" i="12"/>
  <c r="O110" i="12"/>
  <c r="Z107" i="12"/>
  <c r="Y107" i="12"/>
  <c r="X107" i="12"/>
  <c r="W107" i="12"/>
  <c r="V107" i="12"/>
  <c r="U107" i="12"/>
  <c r="T107" i="12"/>
  <c r="S107" i="12"/>
  <c r="R107" i="12"/>
  <c r="Q107" i="12"/>
  <c r="P107" i="12"/>
  <c r="O107" i="12"/>
  <c r="Z104" i="12"/>
  <c r="Y104" i="12"/>
  <c r="X104" i="12"/>
  <c r="W104" i="12"/>
  <c r="V104" i="12"/>
  <c r="U104" i="12"/>
  <c r="T104" i="12"/>
  <c r="S104" i="12"/>
  <c r="R104" i="12"/>
  <c r="Q104" i="12"/>
  <c r="P104" i="12"/>
  <c r="O104" i="12"/>
  <c r="N104" i="12"/>
  <c r="M103" i="12"/>
  <c r="M101" i="12"/>
  <c r="M100" i="12"/>
  <c r="Y99" i="12"/>
  <c r="X99" i="12"/>
  <c r="W99" i="12"/>
  <c r="V99" i="12"/>
  <c r="U99" i="12"/>
  <c r="T99" i="12"/>
  <c r="S99" i="12"/>
  <c r="R99" i="12"/>
  <c r="Q99" i="12"/>
  <c r="P99" i="12"/>
  <c r="O99" i="12"/>
  <c r="M98" i="12"/>
  <c r="N97" i="12" s="1"/>
  <c r="Z97" i="12"/>
  <c r="Y97" i="12"/>
  <c r="X97" i="12"/>
  <c r="W97" i="12"/>
  <c r="V97" i="12"/>
  <c r="U97" i="12"/>
  <c r="T97" i="12"/>
  <c r="S97" i="12"/>
  <c r="R97" i="12"/>
  <c r="Q97" i="12"/>
  <c r="P97" i="12"/>
  <c r="O97" i="12"/>
  <c r="M96" i="12"/>
  <c r="N95" i="12" s="1"/>
  <c r="Z95" i="12"/>
  <c r="Y95" i="12"/>
  <c r="X95" i="12"/>
  <c r="W95" i="12"/>
  <c r="V95" i="12"/>
  <c r="U95" i="12"/>
  <c r="T95" i="12"/>
  <c r="S95" i="12"/>
  <c r="R95" i="12"/>
  <c r="Q95" i="12"/>
  <c r="P95" i="12"/>
  <c r="O95" i="12"/>
  <c r="Y93" i="12"/>
  <c r="X93" i="12"/>
  <c r="X90" i="12" s="1"/>
  <c r="W93" i="12"/>
  <c r="V93" i="12"/>
  <c r="V90" i="12" s="1"/>
  <c r="U93" i="12"/>
  <c r="U90" i="12" s="1"/>
  <c r="T93" i="12"/>
  <c r="T90" i="12" s="1"/>
  <c r="S93" i="12"/>
  <c r="S90" i="12" s="1"/>
  <c r="R93" i="12"/>
  <c r="R90" i="12" s="1"/>
  <c r="Q93" i="12"/>
  <c r="Q90" i="12" s="1"/>
  <c r="P93" i="12"/>
  <c r="P90" i="12" s="1"/>
  <c r="M93" i="12"/>
  <c r="M92" i="12"/>
  <c r="N90" i="12" s="1"/>
  <c r="M91" i="12"/>
  <c r="Z90" i="12"/>
  <c r="Y90" i="12"/>
  <c r="O90" i="12"/>
  <c r="Q85" i="12"/>
  <c r="M84" i="12"/>
  <c r="M83" i="12"/>
  <c r="Z81" i="12"/>
  <c r="Y81" i="12"/>
  <c r="X81" i="12"/>
  <c r="W81" i="12"/>
  <c r="V81" i="12"/>
  <c r="U81" i="12"/>
  <c r="T81" i="12"/>
  <c r="S81" i="12"/>
  <c r="S6" i="12" s="1"/>
  <c r="R81" i="12"/>
  <c r="Q81" i="12"/>
  <c r="P81" i="12"/>
  <c r="O81" i="12"/>
  <c r="M79" i="12"/>
  <c r="M78" i="12"/>
  <c r="N77" i="12" s="1"/>
  <c r="Z77" i="12"/>
  <c r="Y77" i="12"/>
  <c r="X77" i="12"/>
  <c r="V77" i="12"/>
  <c r="U77" i="12"/>
  <c r="T77" i="12"/>
  <c r="R77" i="12"/>
  <c r="Q77" i="12"/>
  <c r="P77" i="12"/>
  <c r="O77" i="12"/>
  <c r="M76" i="12"/>
  <c r="M75" i="12"/>
  <c r="M74" i="12"/>
  <c r="M73" i="12"/>
  <c r="M72" i="12"/>
  <c r="M71" i="12"/>
  <c r="M70" i="12"/>
  <c r="M68" i="12"/>
  <c r="N67" i="12" s="1"/>
  <c r="Z67" i="12"/>
  <c r="Y67" i="12"/>
  <c r="X67" i="12"/>
  <c r="W67" i="12"/>
  <c r="V67" i="12"/>
  <c r="U67" i="12"/>
  <c r="T67" i="12"/>
  <c r="S67" i="12"/>
  <c r="R67" i="12"/>
  <c r="Q67" i="12"/>
  <c r="P67" i="12"/>
  <c r="O67" i="12"/>
  <c r="T63" i="12"/>
  <c r="Z63" i="12"/>
  <c r="Y63" i="12"/>
  <c r="X63" i="12"/>
  <c r="W63" i="12"/>
  <c r="V63" i="12"/>
  <c r="U63" i="12"/>
  <c r="S63" i="12"/>
  <c r="R63" i="12"/>
  <c r="Q63" i="12"/>
  <c r="P63" i="12"/>
  <c r="O63" i="12"/>
  <c r="N63" i="12"/>
  <c r="W61" i="12"/>
  <c r="Z61" i="12"/>
  <c r="Y61" i="12"/>
  <c r="X61" i="12"/>
  <c r="V61" i="12"/>
  <c r="U61" i="12"/>
  <c r="S61" i="12"/>
  <c r="R61" i="12"/>
  <c r="Q61" i="12"/>
  <c r="N61" i="12"/>
  <c r="W58" i="12"/>
  <c r="T58" i="12"/>
  <c r="Z58" i="12"/>
  <c r="Y58" i="12"/>
  <c r="X58" i="12"/>
  <c r="V58" i="12"/>
  <c r="U58" i="12"/>
  <c r="S58" i="12"/>
  <c r="R58" i="12"/>
  <c r="Q58" i="12"/>
  <c r="P58" i="12"/>
  <c r="O58" i="12"/>
  <c r="N58" i="12"/>
  <c r="T54" i="12"/>
  <c r="M56" i="12"/>
  <c r="N54" i="12" s="1"/>
  <c r="Z54" i="12"/>
  <c r="Y54" i="12"/>
  <c r="X54" i="12"/>
  <c r="W54" i="12"/>
  <c r="V54" i="12"/>
  <c r="U54" i="12"/>
  <c r="S54" i="12"/>
  <c r="R54" i="12"/>
  <c r="Q54" i="12"/>
  <c r="P54" i="12"/>
  <c r="O54" i="12"/>
  <c r="Z52" i="12"/>
  <c r="X52" i="12"/>
  <c r="V52" i="12"/>
  <c r="U52" i="12"/>
  <c r="T52" i="12"/>
  <c r="R52" i="12"/>
  <c r="Q52" i="12"/>
  <c r="O52" i="12"/>
  <c r="N52" i="12"/>
  <c r="M49" i="12"/>
  <c r="Z48" i="12"/>
  <c r="Y48" i="12"/>
  <c r="X48" i="12"/>
  <c r="W48" i="12"/>
  <c r="V48" i="12"/>
  <c r="U48" i="12"/>
  <c r="T48" i="12"/>
  <c r="S48" i="12"/>
  <c r="R48" i="12"/>
  <c r="Q48" i="12"/>
  <c r="P48" i="12"/>
  <c r="O48" i="12"/>
  <c r="Z46" i="12"/>
  <c r="Y46" i="12"/>
  <c r="X46" i="12"/>
  <c r="W46" i="12"/>
  <c r="V46" i="12"/>
  <c r="U46" i="12"/>
  <c r="T46" i="12"/>
  <c r="S46" i="12"/>
  <c r="R46" i="12"/>
  <c r="O46" i="12"/>
  <c r="M44" i="12"/>
  <c r="M43" i="12"/>
  <c r="N42" i="12" s="1"/>
  <c r="Z32" i="12"/>
  <c r="Y32" i="12"/>
  <c r="X32" i="12"/>
  <c r="W32" i="12"/>
  <c r="V32" i="12"/>
  <c r="U32" i="12"/>
  <c r="T32" i="12"/>
  <c r="S32" i="12"/>
  <c r="R32" i="12"/>
  <c r="Q32" i="12"/>
  <c r="P32" i="12"/>
  <c r="O32" i="12"/>
  <c r="N32" i="12"/>
  <c r="M31" i="12"/>
  <c r="N25" i="12" s="1"/>
  <c r="M28" i="12"/>
  <c r="Z25" i="12"/>
  <c r="Y25" i="12"/>
  <c r="X25" i="12"/>
  <c r="W25" i="12"/>
  <c r="V25" i="12"/>
  <c r="U25" i="12"/>
  <c r="T25" i="12"/>
  <c r="S25" i="12"/>
  <c r="R25" i="12"/>
  <c r="Q25" i="12"/>
  <c r="P25" i="12"/>
  <c r="O25" i="12"/>
  <c r="M24" i="12"/>
  <c r="N17" i="12" s="1"/>
  <c r="AA6" i="12" s="1"/>
  <c r="Z17" i="12"/>
  <c r="Y17" i="12"/>
  <c r="X17" i="12"/>
  <c r="W17" i="12"/>
  <c r="V17" i="12"/>
  <c r="U17" i="12"/>
  <c r="T17" i="12"/>
  <c r="S17" i="12"/>
  <c r="R17" i="12"/>
  <c r="Q17" i="12"/>
  <c r="P17" i="12"/>
  <c r="O17" i="12"/>
  <c r="M14" i="12"/>
  <c r="Z11" i="12"/>
  <c r="Y11" i="12"/>
  <c r="X11" i="12"/>
  <c r="W11" i="12"/>
  <c r="V11" i="12"/>
  <c r="U11" i="12"/>
  <c r="T11" i="12"/>
  <c r="S11" i="12"/>
  <c r="R11" i="12"/>
  <c r="Q11" i="12"/>
  <c r="P11" i="12"/>
  <c r="P6" i="12" s="1"/>
  <c r="O11" i="12"/>
  <c r="O6" i="12" s="1"/>
  <c r="X6" i="12" l="1"/>
  <c r="Q6" i="12"/>
  <c r="R6" i="12"/>
  <c r="Z6" i="12"/>
  <c r="T6" i="12"/>
  <c r="V6" i="12"/>
  <c r="U6" i="12"/>
  <c r="W7" i="12" s="1"/>
  <c r="G14" i="7" s="1"/>
  <c r="W6" i="12"/>
  <c r="I14" i="7"/>
  <c r="T7" i="12"/>
  <c r="F14" i="7" s="1"/>
  <c r="Y6" i="12"/>
  <c r="Z7" i="12" s="1"/>
  <c r="H14" i="7" s="1"/>
  <c r="Q7" i="12"/>
  <c r="E14" i="7" s="1"/>
  <c r="N11" i="12"/>
  <c r="N116" i="12"/>
  <c r="T128" i="12"/>
  <c r="W90" i="12"/>
  <c r="N81" i="12"/>
  <c r="N99" i="12"/>
  <c r="O128" i="12"/>
  <c r="N48" i="12"/>
  <c r="X128" i="12"/>
  <c r="Q128" i="12"/>
  <c r="V128" i="12"/>
  <c r="U128" i="12"/>
  <c r="Y128" i="12"/>
  <c r="Z128" i="12"/>
  <c r="P128" i="12"/>
  <c r="R128" i="12"/>
  <c r="S128" i="12"/>
  <c r="AB6" i="12" l="1"/>
  <c r="N6" i="12"/>
  <c r="D14" i="7" s="1"/>
  <c r="N128" i="12"/>
  <c r="Q129" i="12" s="1"/>
  <c r="J14" i="7" l="1"/>
  <c r="AF6" i="12"/>
  <c r="AG6" i="12" s="1"/>
  <c r="V129" i="12"/>
  <c r="T129" i="12"/>
  <c r="U129" i="12"/>
  <c r="Z129" i="12"/>
  <c r="R129" i="12"/>
  <c r="Y129" i="12"/>
  <c r="O129" i="12"/>
  <c r="O130" i="12" s="1"/>
  <c r="S129" i="12"/>
  <c r="P129" i="12"/>
  <c r="X129" i="12"/>
  <c r="P130" i="12" l="1"/>
  <c r="Q130" i="12" s="1"/>
  <c r="R130" i="12" s="1"/>
  <c r="S130" i="12" s="1"/>
  <c r="T130" i="12" s="1"/>
  <c r="U130" i="12" s="1"/>
  <c r="V130" i="12" s="1"/>
  <c r="N13" i="16" l="1"/>
  <c r="M22" i="16"/>
  <c r="M21" i="16"/>
  <c r="P6" i="16"/>
  <c r="Q6" i="16"/>
  <c r="R6" i="16"/>
  <c r="S6" i="16"/>
  <c r="U6" i="16"/>
  <c r="X6" i="16"/>
  <c r="O6" i="16"/>
  <c r="Q7" i="16" s="1"/>
  <c r="Z65" i="16"/>
  <c r="Y65" i="16"/>
  <c r="X65" i="16"/>
  <c r="W65" i="16"/>
  <c r="V65" i="16"/>
  <c r="U65" i="16"/>
  <c r="T65" i="16"/>
  <c r="S65" i="16"/>
  <c r="R65" i="16"/>
  <c r="Q65" i="16"/>
  <c r="P65" i="16"/>
  <c r="O65" i="16"/>
  <c r="N65" i="16"/>
  <c r="Z63" i="16"/>
  <c r="Y63" i="16"/>
  <c r="X63" i="16"/>
  <c r="V63" i="16"/>
  <c r="U63" i="16"/>
  <c r="T63" i="16"/>
  <c r="S63" i="16"/>
  <c r="R63" i="16"/>
  <c r="Q63" i="16"/>
  <c r="P63" i="16"/>
  <c r="O63" i="16"/>
  <c r="O71" i="16" s="1"/>
  <c r="N63" i="16"/>
  <c r="M63" i="16"/>
  <c r="Z61" i="16"/>
  <c r="Y61" i="16"/>
  <c r="X61" i="16"/>
  <c r="W61" i="16"/>
  <c r="V61" i="16"/>
  <c r="U61" i="16"/>
  <c r="T61" i="16"/>
  <c r="S61" i="16"/>
  <c r="R61" i="16"/>
  <c r="Q61" i="16"/>
  <c r="P61" i="16"/>
  <c r="O61" i="16"/>
  <c r="N61" i="16"/>
  <c r="Z59" i="16"/>
  <c r="Y59" i="16"/>
  <c r="X59" i="16"/>
  <c r="W59" i="16"/>
  <c r="V59" i="16"/>
  <c r="U59" i="16"/>
  <c r="T59" i="16"/>
  <c r="S59" i="16"/>
  <c r="R59" i="16"/>
  <c r="Q59" i="16"/>
  <c r="P59" i="16"/>
  <c r="O59" i="16"/>
  <c r="Z52" i="16"/>
  <c r="Y52" i="16"/>
  <c r="X52" i="16"/>
  <c r="W52" i="16"/>
  <c r="V52" i="16"/>
  <c r="U52" i="16"/>
  <c r="T52" i="16"/>
  <c r="S52" i="16"/>
  <c r="R52" i="16"/>
  <c r="Q52" i="16"/>
  <c r="P52" i="16"/>
  <c r="O52" i="16"/>
  <c r="V48" i="16"/>
  <c r="M48" i="16"/>
  <c r="M47" i="16"/>
  <c r="V47" i="16" s="1"/>
  <c r="N46" i="16"/>
  <c r="X45" i="16"/>
  <c r="R40" i="16"/>
  <c r="U38" i="16"/>
  <c r="U37" i="16"/>
  <c r="M37" i="16"/>
  <c r="U36" i="16"/>
  <c r="Z35" i="16"/>
  <c r="Y35" i="16"/>
  <c r="W35" i="16"/>
  <c r="T35" i="16"/>
  <c r="S35" i="16"/>
  <c r="R35" i="16"/>
  <c r="Q35" i="16"/>
  <c r="P35" i="16"/>
  <c r="O35" i="16"/>
  <c r="N35" i="16"/>
  <c r="T31" i="16"/>
  <c r="Z28" i="16"/>
  <c r="Y28" i="16"/>
  <c r="X28" i="16"/>
  <c r="W28" i="16"/>
  <c r="W26" i="16" s="1"/>
  <c r="V28" i="16"/>
  <c r="U28" i="16"/>
  <c r="U26" i="16" s="1"/>
  <c r="T28" i="16"/>
  <c r="S28" i="16"/>
  <c r="R28" i="16"/>
  <c r="Q28" i="16"/>
  <c r="P28" i="16"/>
  <c r="P26" i="16" s="1"/>
  <c r="P71" i="16" s="1"/>
  <c r="O28" i="16"/>
  <c r="N28" i="16"/>
  <c r="M27" i="16"/>
  <c r="X26" i="16"/>
  <c r="V26" i="16"/>
  <c r="Q26" i="16"/>
  <c r="M15" i="16"/>
  <c r="Z13" i="16"/>
  <c r="Z71" i="16" s="1"/>
  <c r="Y13" i="16"/>
  <c r="Y71" i="16" s="1"/>
  <c r="X13" i="16"/>
  <c r="W13" i="16"/>
  <c r="W6" i="16" s="1"/>
  <c r="V13" i="16"/>
  <c r="V71" i="16" s="1"/>
  <c r="U13" i="16"/>
  <c r="U71" i="16" s="1"/>
  <c r="T13" i="16"/>
  <c r="T71" i="16" s="1"/>
  <c r="S13" i="16"/>
  <c r="R13" i="16"/>
  <c r="R71" i="16" s="1"/>
  <c r="Q13" i="16"/>
  <c r="Q71" i="16" s="1"/>
  <c r="P13" i="16"/>
  <c r="O13" i="16"/>
  <c r="N64" i="10"/>
  <c r="N6" i="10" s="1"/>
  <c r="N66" i="10"/>
  <c r="N62" i="10"/>
  <c r="N59" i="10"/>
  <c r="N51" i="10"/>
  <c r="N45" i="10"/>
  <c r="P6" i="10"/>
  <c r="Q6" i="10"/>
  <c r="R6" i="10"/>
  <c r="S6" i="10"/>
  <c r="T6" i="10"/>
  <c r="U6" i="10"/>
  <c r="V6" i="10"/>
  <c r="W6" i="10"/>
  <c r="X6" i="10"/>
  <c r="Y6" i="10"/>
  <c r="Z6" i="10"/>
  <c r="O6" i="10"/>
  <c r="P66" i="10"/>
  <c r="Q66" i="10"/>
  <c r="R66" i="10"/>
  <c r="S66" i="10"/>
  <c r="T66" i="10"/>
  <c r="U66" i="10"/>
  <c r="V66" i="10"/>
  <c r="W66" i="10"/>
  <c r="X66" i="10"/>
  <c r="Y66" i="10"/>
  <c r="Z66" i="10"/>
  <c r="O66" i="10"/>
  <c r="P64" i="10"/>
  <c r="Q64" i="10"/>
  <c r="R64" i="10"/>
  <c r="S64" i="10"/>
  <c r="T64" i="10"/>
  <c r="T81" i="10" s="1"/>
  <c r="U64" i="10"/>
  <c r="V64" i="10"/>
  <c r="W64" i="10"/>
  <c r="X64" i="10"/>
  <c r="Y64" i="10"/>
  <c r="Z64" i="10"/>
  <c r="O64" i="10"/>
  <c r="P62" i="10"/>
  <c r="Q62" i="10"/>
  <c r="R62" i="10"/>
  <c r="S62" i="10"/>
  <c r="T62" i="10"/>
  <c r="U62" i="10"/>
  <c r="V62" i="10"/>
  <c r="W62" i="10"/>
  <c r="X62" i="10"/>
  <c r="Y62" i="10"/>
  <c r="Z62" i="10"/>
  <c r="O62" i="10"/>
  <c r="P59" i="10"/>
  <c r="Q59" i="10"/>
  <c r="R59" i="10"/>
  <c r="S59" i="10"/>
  <c r="T59" i="10"/>
  <c r="U59" i="10"/>
  <c r="V59" i="10"/>
  <c r="W59" i="10"/>
  <c r="X59" i="10"/>
  <c r="Y59" i="10"/>
  <c r="Z59" i="10"/>
  <c r="O59" i="10"/>
  <c r="P51" i="10"/>
  <c r="Q51" i="10"/>
  <c r="R51" i="10"/>
  <c r="S51" i="10"/>
  <c r="T51" i="10"/>
  <c r="U51" i="10"/>
  <c r="V51" i="10"/>
  <c r="W51" i="10"/>
  <c r="X51" i="10"/>
  <c r="Y51" i="10"/>
  <c r="Z51" i="10"/>
  <c r="O51" i="10"/>
  <c r="P45" i="10"/>
  <c r="Q45" i="10"/>
  <c r="R45" i="10"/>
  <c r="S45" i="10"/>
  <c r="T45" i="10"/>
  <c r="U45" i="10"/>
  <c r="V45" i="10"/>
  <c r="W45" i="10"/>
  <c r="X45" i="10"/>
  <c r="Y45" i="10"/>
  <c r="Z45" i="10"/>
  <c r="O45" i="10"/>
  <c r="P36" i="10"/>
  <c r="Q36" i="10"/>
  <c r="R36" i="10"/>
  <c r="S36" i="10"/>
  <c r="T36" i="10"/>
  <c r="U36" i="10"/>
  <c r="V36" i="10"/>
  <c r="W36" i="10"/>
  <c r="X36" i="10"/>
  <c r="Y36" i="10"/>
  <c r="Z36" i="10"/>
  <c r="O36" i="10"/>
  <c r="N36" i="10"/>
  <c r="P32" i="10"/>
  <c r="Q32" i="10"/>
  <c r="R32" i="10"/>
  <c r="S32" i="10"/>
  <c r="T32" i="10"/>
  <c r="U32" i="10"/>
  <c r="V32" i="10"/>
  <c r="W32" i="10"/>
  <c r="X32" i="10"/>
  <c r="Y32" i="10"/>
  <c r="Z32" i="10"/>
  <c r="O32" i="10"/>
  <c r="N32" i="10"/>
  <c r="P22" i="10"/>
  <c r="Q22" i="10"/>
  <c r="R22" i="10"/>
  <c r="S22" i="10"/>
  <c r="T22" i="10"/>
  <c r="U22" i="10"/>
  <c r="V22" i="10"/>
  <c r="W22" i="10"/>
  <c r="X22" i="10"/>
  <c r="Y22" i="10"/>
  <c r="Z22" i="10"/>
  <c r="O22" i="10"/>
  <c r="N22" i="10"/>
  <c r="P18" i="10"/>
  <c r="Q18" i="10"/>
  <c r="R18" i="10"/>
  <c r="S18" i="10"/>
  <c r="T18" i="10"/>
  <c r="U18" i="10"/>
  <c r="V18" i="10"/>
  <c r="W18" i="10"/>
  <c r="X18" i="10"/>
  <c r="Y18" i="10"/>
  <c r="Z18" i="10"/>
  <c r="O18" i="10"/>
  <c r="N18" i="10"/>
  <c r="P11" i="10"/>
  <c r="Q11" i="10"/>
  <c r="R11" i="10"/>
  <c r="S11" i="10"/>
  <c r="T11" i="10"/>
  <c r="U11" i="10"/>
  <c r="V11" i="10"/>
  <c r="W11" i="10"/>
  <c r="X11" i="10"/>
  <c r="Y11" i="10"/>
  <c r="Z11" i="10"/>
  <c r="Z7" i="10" s="1"/>
  <c r="O11" i="10"/>
  <c r="N11" i="10"/>
  <c r="M43" i="10"/>
  <c r="M42" i="10"/>
  <c r="Z42" i="10" s="1"/>
  <c r="M38" i="10"/>
  <c r="M37" i="10"/>
  <c r="W71" i="16" l="1"/>
  <c r="Z6" i="16"/>
  <c r="Y6" i="16"/>
  <c r="Z7" i="16" s="1"/>
  <c r="X71" i="16"/>
  <c r="V6" i="16"/>
  <c r="W7" i="16" s="1"/>
  <c r="T6" i="16"/>
  <c r="T7" i="16" s="1"/>
  <c r="S71" i="16"/>
  <c r="S81" i="10"/>
  <c r="P81" i="10"/>
  <c r="U81" i="10"/>
  <c r="Y81" i="10"/>
  <c r="Q81" i="10"/>
  <c r="X81" i="10"/>
  <c r="Z81" i="10"/>
  <c r="T7" i="10"/>
  <c r="V81" i="10"/>
  <c r="W81" i="10"/>
  <c r="Q7" i="10"/>
  <c r="W7" i="10"/>
  <c r="R37" i="10"/>
  <c r="R81" i="10" s="1"/>
  <c r="T82" i="10" s="1"/>
  <c r="W82" i="10" l="1"/>
  <c r="Z82" i="10"/>
  <c r="N81" i="10"/>
  <c r="P11" i="13" l="1"/>
  <c r="Q11" i="13"/>
  <c r="R11" i="13"/>
  <c r="S11" i="13"/>
  <c r="T11" i="13"/>
  <c r="U11" i="13"/>
  <c r="V11" i="13"/>
  <c r="W11" i="13"/>
  <c r="X11" i="13"/>
  <c r="Y11" i="13"/>
  <c r="Z11" i="13"/>
  <c r="O11" i="13"/>
  <c r="Y77" i="14"/>
  <c r="M77" i="14"/>
  <c r="Y76" i="14"/>
  <c r="M76" i="14"/>
  <c r="Y75" i="14"/>
  <c r="M75" i="14"/>
  <c r="Y74" i="14"/>
  <c r="Y70" i="14" s="1"/>
  <c r="M74" i="14"/>
  <c r="N70" i="14" s="1"/>
  <c r="AE6" i="14" s="1"/>
  <c r="M10" i="7" s="1"/>
  <c r="R72" i="14"/>
  <c r="R70" i="14" s="1"/>
  <c r="M72" i="14"/>
  <c r="R71" i="14"/>
  <c r="M71" i="14"/>
  <c r="Z70" i="14"/>
  <c r="X70" i="14"/>
  <c r="W70" i="14"/>
  <c r="V70" i="14"/>
  <c r="U70" i="14"/>
  <c r="T70" i="14"/>
  <c r="S70" i="14"/>
  <c r="Q70" i="14"/>
  <c r="P70" i="14"/>
  <c r="O70" i="14"/>
  <c r="Z67" i="14"/>
  <c r="Y67" i="14"/>
  <c r="X67" i="14"/>
  <c r="W67" i="14"/>
  <c r="V67" i="14"/>
  <c r="U67" i="14"/>
  <c r="T67" i="14"/>
  <c r="S67" i="14"/>
  <c r="R67" i="14"/>
  <c r="Q67" i="14"/>
  <c r="P67" i="14"/>
  <c r="O67" i="14"/>
  <c r="Z65" i="14"/>
  <c r="Y65" i="14"/>
  <c r="X65" i="14"/>
  <c r="W65" i="14"/>
  <c r="V65" i="14"/>
  <c r="U65" i="14"/>
  <c r="T65" i="14"/>
  <c r="S65" i="14"/>
  <c r="R65" i="14"/>
  <c r="Q65" i="14"/>
  <c r="P65" i="14"/>
  <c r="O65" i="14"/>
  <c r="N65" i="14"/>
  <c r="S64" i="14"/>
  <c r="M64" i="14"/>
  <c r="X62" i="14"/>
  <c r="X57" i="14" s="1"/>
  <c r="V62" i="14"/>
  <c r="M62" i="14"/>
  <c r="Z61" i="14"/>
  <c r="Z57" i="14" s="1"/>
  <c r="Y61" i="14"/>
  <c r="X61" i="14"/>
  <c r="W61" i="14"/>
  <c r="V61" i="14"/>
  <c r="U61" i="14"/>
  <c r="T61" i="14"/>
  <c r="T57" i="14" s="1"/>
  <c r="S61" i="14"/>
  <c r="S57" i="14" s="1"/>
  <c r="R61" i="14"/>
  <c r="M61" i="14" s="1"/>
  <c r="Q61" i="14"/>
  <c r="Y57" i="14"/>
  <c r="W57" i="14"/>
  <c r="V57" i="14"/>
  <c r="U57" i="14"/>
  <c r="Q57" i="14"/>
  <c r="P57" i="14"/>
  <c r="O57" i="14"/>
  <c r="Z52" i="14"/>
  <c r="Y52" i="14"/>
  <c r="X52" i="14"/>
  <c r="W52" i="14"/>
  <c r="V52" i="14"/>
  <c r="U52" i="14"/>
  <c r="T52" i="14"/>
  <c r="S52" i="14"/>
  <c r="R52" i="14"/>
  <c r="Q52" i="14"/>
  <c r="P52" i="14"/>
  <c r="O52" i="14"/>
  <c r="Z46" i="14"/>
  <c r="Y46" i="14"/>
  <c r="X46" i="14"/>
  <c r="W46" i="14"/>
  <c r="V46" i="14"/>
  <c r="U46" i="14"/>
  <c r="T46" i="14"/>
  <c r="S46" i="14"/>
  <c r="R46" i="14"/>
  <c r="Q46" i="14"/>
  <c r="P46" i="14"/>
  <c r="O46" i="14"/>
  <c r="Z42" i="14"/>
  <c r="Y42" i="14"/>
  <c r="X42" i="14"/>
  <c r="W42" i="14"/>
  <c r="V42" i="14"/>
  <c r="U42" i="14"/>
  <c r="T42" i="14"/>
  <c r="S42" i="14"/>
  <c r="R42" i="14"/>
  <c r="Q42" i="14"/>
  <c r="P42" i="14"/>
  <c r="O42" i="14"/>
  <c r="Z37" i="14"/>
  <c r="Y37" i="14"/>
  <c r="X37" i="14"/>
  <c r="W37" i="14"/>
  <c r="V37" i="14"/>
  <c r="U37" i="14"/>
  <c r="T37" i="14"/>
  <c r="S37" i="14"/>
  <c r="R37" i="14"/>
  <c r="Q37" i="14"/>
  <c r="P37" i="14"/>
  <c r="N37" i="14"/>
  <c r="Z25" i="14"/>
  <c r="Y25" i="14"/>
  <c r="X25" i="14"/>
  <c r="W25" i="14"/>
  <c r="V25" i="14"/>
  <c r="U25" i="14"/>
  <c r="T25" i="14"/>
  <c r="S25" i="14"/>
  <c r="R25" i="14"/>
  <c r="Q25" i="14"/>
  <c r="P25" i="14"/>
  <c r="O25" i="14"/>
  <c r="Z22" i="14"/>
  <c r="Y22" i="14"/>
  <c r="X22" i="14"/>
  <c r="W22" i="14"/>
  <c r="V22" i="14"/>
  <c r="U22" i="14"/>
  <c r="T22" i="14"/>
  <c r="S22" i="14"/>
  <c r="R22" i="14"/>
  <c r="Q22" i="14"/>
  <c r="P22" i="14"/>
  <c r="O22" i="14"/>
  <c r="Z11" i="14"/>
  <c r="Y11" i="14"/>
  <c r="X11" i="14"/>
  <c r="W11" i="14"/>
  <c r="W6" i="14" s="1"/>
  <c r="V11" i="14"/>
  <c r="U11" i="14"/>
  <c r="T11" i="14"/>
  <c r="T6" i="14" s="1"/>
  <c r="S11" i="14"/>
  <c r="R11" i="14"/>
  <c r="Q11" i="14"/>
  <c r="P11" i="14"/>
  <c r="O11" i="14"/>
  <c r="O6" i="14" s="1"/>
  <c r="U6" i="14" l="1"/>
  <c r="W7" i="14" s="1"/>
  <c r="G10" i="7" s="1"/>
  <c r="M25" i="14"/>
  <c r="Y6" i="14"/>
  <c r="P6" i="14"/>
  <c r="X6" i="14"/>
  <c r="Z7" i="14" s="1"/>
  <c r="H10" i="7" s="1"/>
  <c r="Z6" i="14"/>
  <c r="V6" i="14"/>
  <c r="N25" i="14"/>
  <c r="S6" i="14"/>
  <c r="N52" i="14"/>
  <c r="AB6" i="14" s="1"/>
  <c r="J10" i="7" s="1"/>
  <c r="Q6" i="14"/>
  <c r="N46" i="14"/>
  <c r="N67" i="14"/>
  <c r="N11" i="14"/>
  <c r="N22" i="14"/>
  <c r="N42" i="14"/>
  <c r="R57" i="14"/>
  <c r="N57" i="14" s="1"/>
  <c r="AA6" i="14" l="1"/>
  <c r="I10" i="7" s="1"/>
  <c r="Q7" i="14"/>
  <c r="E10" i="7" s="1"/>
  <c r="R6" i="14"/>
  <c r="T7" i="14" s="1"/>
  <c r="F10" i="7" s="1"/>
  <c r="N6" i="14"/>
  <c r="D10" i="7" s="1"/>
  <c r="Z80" i="9"/>
  <c r="Y80" i="9"/>
  <c r="P43" i="9"/>
  <c r="Q43" i="9"/>
  <c r="R43" i="9"/>
  <c r="S43" i="9"/>
  <c r="T43" i="9"/>
  <c r="U43" i="9"/>
  <c r="V43" i="9"/>
  <c r="W43" i="9"/>
  <c r="X43" i="9"/>
  <c r="Y43" i="9"/>
  <c r="Z43" i="9"/>
  <c r="O43" i="9"/>
  <c r="X80" i="9"/>
  <c r="P80" i="9"/>
  <c r="Q80" i="9"/>
  <c r="R80" i="9"/>
  <c r="S80" i="9"/>
  <c r="T80" i="9"/>
  <c r="U80" i="9"/>
  <c r="V80" i="9"/>
  <c r="W80" i="9"/>
  <c r="O80" i="9"/>
  <c r="P74" i="9"/>
  <c r="Q74" i="9"/>
  <c r="R74" i="9"/>
  <c r="S74" i="9"/>
  <c r="T74" i="9"/>
  <c r="U74" i="9"/>
  <c r="V74" i="9"/>
  <c r="W74" i="9"/>
  <c r="N74" i="9"/>
  <c r="X74" i="9"/>
  <c r="Y74" i="9"/>
  <c r="Z74" i="9"/>
  <c r="O74" i="9"/>
  <c r="P70" i="9"/>
  <c r="Q70" i="9"/>
  <c r="R70" i="9"/>
  <c r="S70" i="9"/>
  <c r="T70" i="9"/>
  <c r="U70" i="9"/>
  <c r="V70" i="9"/>
  <c r="W70" i="9"/>
  <c r="X70" i="9"/>
  <c r="Y70" i="9"/>
  <c r="Z70" i="9"/>
  <c r="O70" i="9"/>
  <c r="N70" i="9"/>
  <c r="N6" i="9" s="1"/>
  <c r="D9" i="7" s="1"/>
  <c r="P61" i="9"/>
  <c r="Q61" i="9"/>
  <c r="R61" i="9"/>
  <c r="S61" i="9"/>
  <c r="T61" i="9"/>
  <c r="U61" i="9"/>
  <c r="V61" i="9"/>
  <c r="W61" i="9"/>
  <c r="X61" i="9"/>
  <c r="Y61" i="9"/>
  <c r="O61" i="9"/>
  <c r="X46" i="9"/>
  <c r="Y46" i="9"/>
  <c r="W46" i="9"/>
  <c r="V46" i="9"/>
  <c r="U46" i="9"/>
  <c r="T46" i="9"/>
  <c r="S46" i="9"/>
  <c r="R46" i="9"/>
  <c r="Q46" i="9"/>
  <c r="P46" i="9"/>
  <c r="O46" i="9"/>
  <c r="P31" i="9"/>
  <c r="Q31" i="9"/>
  <c r="R31" i="9"/>
  <c r="S31" i="9"/>
  <c r="T31" i="9"/>
  <c r="U31" i="9"/>
  <c r="V31" i="9"/>
  <c r="W31" i="9"/>
  <c r="X31" i="9"/>
  <c r="Y31" i="9"/>
  <c r="Z31" i="9"/>
  <c r="O31" i="9"/>
  <c r="P20" i="9"/>
  <c r="Q20" i="9"/>
  <c r="R20" i="9"/>
  <c r="S20" i="9"/>
  <c r="T20" i="9"/>
  <c r="U20" i="9"/>
  <c r="V20" i="9"/>
  <c r="W20" i="9"/>
  <c r="X20" i="9"/>
  <c r="Y20" i="9"/>
  <c r="O20" i="9"/>
  <c r="S6" i="9"/>
  <c r="N31" i="9"/>
  <c r="N6" i="13"/>
  <c r="P6" i="13"/>
  <c r="Q6" i="13"/>
  <c r="R6" i="13"/>
  <c r="T6" i="13"/>
  <c r="U6" i="13"/>
  <c r="W6" i="13"/>
  <c r="X6" i="13"/>
  <c r="Y6" i="13"/>
  <c r="Z6" i="13"/>
  <c r="O6" i="13"/>
  <c r="P88" i="13"/>
  <c r="Q88" i="13"/>
  <c r="R88" i="13"/>
  <c r="S88" i="13"/>
  <c r="T88" i="13"/>
  <c r="U88" i="13"/>
  <c r="V88" i="13"/>
  <c r="W88" i="13"/>
  <c r="X88" i="13"/>
  <c r="Y88" i="13"/>
  <c r="Z88" i="13"/>
  <c r="O88" i="13"/>
  <c r="P85" i="13"/>
  <c r="Q85" i="13"/>
  <c r="R85" i="13"/>
  <c r="S85" i="13"/>
  <c r="T85" i="13"/>
  <c r="U85" i="13"/>
  <c r="V85" i="13"/>
  <c r="W85" i="13"/>
  <c r="X85" i="13"/>
  <c r="Y85" i="13"/>
  <c r="Z85" i="13"/>
  <c r="O85" i="13"/>
  <c r="P81" i="13"/>
  <c r="Q81" i="13"/>
  <c r="R81" i="13"/>
  <c r="S81" i="13"/>
  <c r="T81" i="13"/>
  <c r="U81" i="13"/>
  <c r="V81" i="13"/>
  <c r="W81" i="13"/>
  <c r="X81" i="13"/>
  <c r="Y81" i="13"/>
  <c r="Z81" i="13"/>
  <c r="O81" i="13"/>
  <c r="P75" i="13"/>
  <c r="Q75" i="13"/>
  <c r="R75" i="13"/>
  <c r="S75" i="13"/>
  <c r="T75" i="13"/>
  <c r="U75" i="13"/>
  <c r="V75" i="13"/>
  <c r="W75" i="13"/>
  <c r="X75" i="13"/>
  <c r="Y75" i="13"/>
  <c r="Z75" i="13"/>
  <c r="O75" i="13"/>
  <c r="P67" i="13"/>
  <c r="Q67" i="13"/>
  <c r="R67" i="13"/>
  <c r="S67" i="13"/>
  <c r="T67" i="13"/>
  <c r="U67" i="13"/>
  <c r="V67" i="13"/>
  <c r="W67" i="13"/>
  <c r="X67" i="13"/>
  <c r="Y67" i="13"/>
  <c r="Z67" i="13"/>
  <c r="O67" i="13"/>
  <c r="P64" i="13"/>
  <c r="Q64" i="13"/>
  <c r="R64" i="13"/>
  <c r="S64" i="13"/>
  <c r="T64" i="13"/>
  <c r="U64" i="13"/>
  <c r="V64" i="13"/>
  <c r="W64" i="13"/>
  <c r="X64" i="13"/>
  <c r="Y64" i="13"/>
  <c r="Z64" i="13"/>
  <c r="O64" i="13"/>
  <c r="P58" i="13"/>
  <c r="Q58" i="13"/>
  <c r="R58" i="13"/>
  <c r="S58" i="13"/>
  <c r="T58" i="13"/>
  <c r="U58" i="13"/>
  <c r="V58" i="13"/>
  <c r="W58" i="13"/>
  <c r="X58" i="13"/>
  <c r="Y58" i="13"/>
  <c r="Z58" i="13"/>
  <c r="O58" i="13"/>
  <c r="P43" i="13"/>
  <c r="Q43" i="13"/>
  <c r="R43" i="13"/>
  <c r="S43" i="13"/>
  <c r="T43" i="13"/>
  <c r="U43" i="13"/>
  <c r="V43" i="13"/>
  <c r="W43" i="13"/>
  <c r="X43" i="13"/>
  <c r="Y43" i="13"/>
  <c r="Z43" i="13"/>
  <c r="O43" i="13"/>
  <c r="P41" i="13"/>
  <c r="Q41" i="13"/>
  <c r="R41" i="13"/>
  <c r="S41" i="13"/>
  <c r="T41" i="13"/>
  <c r="U41" i="13"/>
  <c r="V41" i="13"/>
  <c r="W41" i="13"/>
  <c r="X41" i="13"/>
  <c r="Y41" i="13"/>
  <c r="Z41" i="13"/>
  <c r="O41" i="13"/>
  <c r="P36" i="13"/>
  <c r="Q36" i="13"/>
  <c r="R36" i="13"/>
  <c r="S36" i="13"/>
  <c r="T36" i="13"/>
  <c r="U36" i="13"/>
  <c r="V36" i="13"/>
  <c r="W36" i="13"/>
  <c r="X36" i="13"/>
  <c r="Y36" i="13"/>
  <c r="Z36" i="13"/>
  <c r="O36" i="13"/>
  <c r="P33" i="13"/>
  <c r="Q33" i="13"/>
  <c r="R33" i="13"/>
  <c r="S33" i="13"/>
  <c r="T33" i="13"/>
  <c r="U33" i="13"/>
  <c r="V33" i="13"/>
  <c r="W33" i="13"/>
  <c r="X33" i="13"/>
  <c r="Y33" i="13"/>
  <c r="Z33" i="13"/>
  <c r="O33" i="13"/>
  <c r="P28" i="13"/>
  <c r="Q28" i="13"/>
  <c r="R28" i="13"/>
  <c r="S28" i="13"/>
  <c r="T28" i="13"/>
  <c r="U28" i="13"/>
  <c r="V28" i="13"/>
  <c r="W28" i="13"/>
  <c r="X28" i="13"/>
  <c r="Y28" i="13"/>
  <c r="Z28" i="13"/>
  <c r="O28" i="13"/>
  <c r="P20" i="13"/>
  <c r="Q20" i="13"/>
  <c r="R20" i="13"/>
  <c r="S20" i="13"/>
  <c r="T20" i="13"/>
  <c r="U20" i="13"/>
  <c r="V20" i="13"/>
  <c r="W20" i="13"/>
  <c r="X20" i="13"/>
  <c r="Y20" i="13"/>
  <c r="Z20" i="13"/>
  <c r="O20" i="13"/>
  <c r="M76" i="13"/>
  <c r="N75" i="13" s="1"/>
  <c r="M73" i="13"/>
  <c r="M71" i="13"/>
  <c r="M68" i="13"/>
  <c r="R56" i="13"/>
  <c r="M54" i="13"/>
  <c r="R54" i="13" s="1"/>
  <c r="R53" i="13"/>
  <c r="M53" i="13"/>
  <c r="R51" i="13"/>
  <c r="M50" i="13"/>
  <c r="V50" i="13" s="1"/>
  <c r="T49" i="13"/>
  <c r="T48" i="13"/>
  <c r="T46" i="13"/>
  <c r="M45" i="13"/>
  <c r="T45" i="13" s="1"/>
  <c r="M44" i="13"/>
  <c r="M27" i="13"/>
  <c r="M26" i="13"/>
  <c r="M25" i="13"/>
  <c r="M24" i="13"/>
  <c r="M23" i="13"/>
  <c r="M22" i="13"/>
  <c r="M19" i="13"/>
  <c r="M16" i="13"/>
  <c r="M15" i="13"/>
  <c r="V6" i="13"/>
  <c r="R6" i="9" l="1"/>
  <c r="Z6" i="9"/>
  <c r="U6" i="9"/>
  <c r="W6" i="9"/>
  <c r="Q6" i="9"/>
  <c r="V6" i="9"/>
  <c r="X6" i="9"/>
  <c r="Y6" i="9"/>
  <c r="P6" i="9"/>
  <c r="T6" i="9"/>
  <c r="O6" i="9"/>
  <c r="W7" i="13"/>
  <c r="N11" i="13"/>
  <c r="X50" i="13"/>
  <c r="N43" i="13"/>
  <c r="Q50" i="13"/>
  <c r="Q44" i="13"/>
  <c r="T50" i="13"/>
  <c r="W7" i="9" l="1"/>
  <c r="G9" i="7" s="1"/>
  <c r="T7" i="9"/>
  <c r="F9" i="7" s="1"/>
  <c r="Z7" i="9"/>
  <c r="H9" i="7" s="1"/>
  <c r="Q7" i="9"/>
  <c r="E9" i="7" s="1"/>
  <c r="Q7" i="13"/>
  <c r="Z7" i="13"/>
  <c r="P86" i="11" l="1"/>
  <c r="Q86" i="11"/>
  <c r="R86" i="11"/>
  <c r="S86" i="11"/>
  <c r="T86" i="11"/>
  <c r="U86" i="11"/>
  <c r="V86" i="11"/>
  <c r="W86" i="11"/>
  <c r="X86" i="11"/>
  <c r="Y86" i="11"/>
  <c r="Z86" i="11"/>
  <c r="O86" i="11"/>
  <c r="P78" i="11"/>
  <c r="R78" i="11"/>
  <c r="S78" i="11"/>
  <c r="T78" i="11"/>
  <c r="U78" i="11"/>
  <c r="V78" i="11"/>
  <c r="W78" i="11"/>
  <c r="X78" i="11"/>
  <c r="Y78" i="11"/>
  <c r="Z78" i="11"/>
  <c r="O78" i="11"/>
  <c r="P58" i="11"/>
  <c r="Q58" i="11"/>
  <c r="S58" i="11"/>
  <c r="V58" i="11"/>
  <c r="W58" i="11"/>
  <c r="X58" i="11"/>
  <c r="Y58" i="11"/>
  <c r="Z58" i="11"/>
  <c r="O58" i="11"/>
  <c r="P55" i="11"/>
  <c r="Q55" i="11"/>
  <c r="S55" i="11"/>
  <c r="T55" i="11"/>
  <c r="U55" i="11"/>
  <c r="V55" i="11"/>
  <c r="W55" i="11"/>
  <c r="X55" i="11"/>
  <c r="Y55" i="11"/>
  <c r="Z55" i="11"/>
  <c r="O55" i="11"/>
  <c r="P45" i="11"/>
  <c r="Q45" i="11"/>
  <c r="R45" i="11"/>
  <c r="S45" i="11"/>
  <c r="T45" i="11"/>
  <c r="U45" i="11"/>
  <c r="V45" i="11"/>
  <c r="W45" i="11"/>
  <c r="X45" i="11"/>
  <c r="Y45" i="11"/>
  <c r="Z45" i="11"/>
  <c r="O45" i="11"/>
  <c r="P33" i="11"/>
  <c r="Q33" i="11"/>
  <c r="R33" i="11"/>
  <c r="S33" i="11"/>
  <c r="T33" i="11"/>
  <c r="U33" i="11"/>
  <c r="V33" i="11"/>
  <c r="W33" i="11"/>
  <c r="X33" i="11"/>
  <c r="Y33" i="11"/>
  <c r="Z33" i="11"/>
  <c r="O33" i="11"/>
  <c r="P20" i="11"/>
  <c r="R20" i="11"/>
  <c r="T20" i="11"/>
  <c r="U20" i="11"/>
  <c r="V20" i="11"/>
  <c r="W20" i="11"/>
  <c r="X20" i="11"/>
  <c r="Y20" i="11"/>
  <c r="Z20" i="11"/>
  <c r="O20" i="11"/>
  <c r="P17" i="11"/>
  <c r="Q17" i="11"/>
  <c r="S17" i="11"/>
  <c r="T17" i="11"/>
  <c r="V17" i="11"/>
  <c r="W17" i="11"/>
  <c r="X17" i="11"/>
  <c r="Y17" i="11"/>
  <c r="Z17" i="11"/>
  <c r="O17" i="11"/>
  <c r="P14" i="11"/>
  <c r="Q14" i="11"/>
  <c r="R14" i="11"/>
  <c r="T14" i="11"/>
  <c r="U14" i="11"/>
  <c r="V14" i="11"/>
  <c r="W14" i="11"/>
  <c r="X14" i="11"/>
  <c r="Y14" i="11"/>
  <c r="Z14" i="11"/>
  <c r="O14" i="11"/>
  <c r="P11" i="11"/>
  <c r="R11" i="11"/>
  <c r="S11" i="11"/>
  <c r="T11" i="11"/>
  <c r="U11" i="11"/>
  <c r="V11" i="11"/>
  <c r="W11" i="11"/>
  <c r="X11" i="11"/>
  <c r="Y11" i="11"/>
  <c r="Z11" i="11"/>
  <c r="O11" i="11"/>
  <c r="P102" i="11"/>
  <c r="Q102" i="11"/>
  <c r="R102" i="11"/>
  <c r="S102" i="11"/>
  <c r="T102" i="11"/>
  <c r="U102" i="11"/>
  <c r="V102" i="11"/>
  <c r="W102" i="11"/>
  <c r="X102" i="11"/>
  <c r="Y102" i="11"/>
  <c r="Z102" i="11"/>
  <c r="O102" i="11"/>
  <c r="P114" i="11"/>
  <c r="Q114" i="11"/>
  <c r="R114" i="11"/>
  <c r="S114" i="11"/>
  <c r="T114" i="11"/>
  <c r="U114" i="11"/>
  <c r="V114" i="11"/>
  <c r="W114" i="11"/>
  <c r="X114" i="11"/>
  <c r="Y114" i="11"/>
  <c r="Z114" i="11"/>
  <c r="O114" i="11"/>
  <c r="P142" i="11"/>
  <c r="Q142" i="11"/>
  <c r="S142" i="11"/>
  <c r="T142" i="11"/>
  <c r="U142" i="11"/>
  <c r="V142" i="11"/>
  <c r="W142" i="11"/>
  <c r="X142" i="11"/>
  <c r="Y142" i="11"/>
  <c r="Z142" i="11"/>
  <c r="O142" i="11"/>
  <c r="P140" i="11"/>
  <c r="Q140" i="11"/>
  <c r="R140" i="11"/>
  <c r="S140" i="11"/>
  <c r="T140" i="11"/>
  <c r="U140" i="11"/>
  <c r="V140" i="11"/>
  <c r="W140" i="11"/>
  <c r="Y140" i="11"/>
  <c r="Z140" i="11"/>
  <c r="O140" i="11"/>
  <c r="P204" i="11"/>
  <c r="Q204" i="11"/>
  <c r="R204" i="11"/>
  <c r="S204" i="11"/>
  <c r="T204" i="11"/>
  <c r="U204" i="11"/>
  <c r="V204" i="11"/>
  <c r="W204" i="11"/>
  <c r="X204" i="11"/>
  <c r="Z204" i="11"/>
  <c r="O204" i="11"/>
  <c r="P206" i="11"/>
  <c r="Q206" i="11"/>
  <c r="R206" i="11"/>
  <c r="S206" i="11"/>
  <c r="U206" i="11"/>
  <c r="V206" i="11"/>
  <c r="W206" i="11"/>
  <c r="X206" i="11"/>
  <c r="Y206" i="11"/>
  <c r="Z206" i="11"/>
  <c r="P269" i="11"/>
  <c r="Q269" i="11"/>
  <c r="R269" i="11"/>
  <c r="S269" i="11"/>
  <c r="T269" i="11"/>
  <c r="U269" i="11"/>
  <c r="V269" i="11"/>
  <c r="W269" i="11"/>
  <c r="X269" i="11"/>
  <c r="Y269" i="11"/>
  <c r="Z269" i="11"/>
  <c r="O269" i="11"/>
  <c r="P303" i="11"/>
  <c r="Q303" i="11"/>
  <c r="R303" i="11"/>
  <c r="S303" i="11"/>
  <c r="T303" i="11"/>
  <c r="U303" i="11"/>
  <c r="V303" i="11"/>
  <c r="W303" i="11"/>
  <c r="X303" i="11"/>
  <c r="Y303" i="11"/>
  <c r="Z303" i="11"/>
  <c r="O303" i="11"/>
  <c r="P282" i="11"/>
  <c r="Q282" i="11"/>
  <c r="R282" i="11"/>
  <c r="T282" i="11"/>
  <c r="U282" i="11"/>
  <c r="W282" i="11"/>
  <c r="X282" i="11"/>
  <c r="Y282" i="11"/>
  <c r="Z282" i="11"/>
  <c r="O282" i="11"/>
  <c r="P306" i="11"/>
  <c r="Q306" i="11"/>
  <c r="R306" i="11"/>
  <c r="S306" i="11"/>
  <c r="T306" i="11"/>
  <c r="U306" i="11"/>
  <c r="V306" i="11"/>
  <c r="W306" i="11"/>
  <c r="X306" i="11"/>
  <c r="Y306" i="11"/>
  <c r="Z306" i="11"/>
  <c r="O306" i="11"/>
  <c r="P309" i="11"/>
  <c r="Q309" i="11"/>
  <c r="R309" i="11"/>
  <c r="S309" i="11"/>
  <c r="T309" i="11"/>
  <c r="U309" i="11"/>
  <c r="V309" i="11"/>
  <c r="W309" i="11"/>
  <c r="X309" i="11"/>
  <c r="Y309" i="11"/>
  <c r="Z309" i="11"/>
  <c r="O309" i="11"/>
  <c r="P338" i="11"/>
  <c r="Q338" i="11"/>
  <c r="S338" i="11"/>
  <c r="T338" i="11"/>
  <c r="U338" i="11"/>
  <c r="V338" i="11"/>
  <c r="W338" i="11"/>
  <c r="X338" i="11"/>
  <c r="Y338" i="11"/>
  <c r="Z338" i="11"/>
  <c r="O338" i="11"/>
  <c r="P334" i="11"/>
  <c r="Q334" i="11"/>
  <c r="R334" i="11"/>
  <c r="S334" i="11"/>
  <c r="T334" i="11"/>
  <c r="U334" i="11"/>
  <c r="W334" i="11"/>
  <c r="X334" i="11"/>
  <c r="Y334" i="11"/>
  <c r="Z334" i="11"/>
  <c r="O334" i="11"/>
  <c r="P331" i="11"/>
  <c r="Q331" i="11"/>
  <c r="R331" i="11"/>
  <c r="T331" i="11"/>
  <c r="U331" i="11"/>
  <c r="V331" i="11"/>
  <c r="W331" i="11"/>
  <c r="X331" i="11"/>
  <c r="Y331" i="11"/>
  <c r="Z331" i="11"/>
  <c r="O331" i="11"/>
  <c r="P322" i="11"/>
  <c r="Q322" i="11"/>
  <c r="R322" i="11"/>
  <c r="S322" i="11"/>
  <c r="T322" i="11"/>
  <c r="U322" i="11"/>
  <c r="V322" i="11"/>
  <c r="W322" i="11"/>
  <c r="X322" i="11"/>
  <c r="Y322" i="11"/>
  <c r="Z322" i="11"/>
  <c r="O322" i="11"/>
  <c r="P325" i="11"/>
  <c r="Q325" i="11"/>
  <c r="R325" i="11"/>
  <c r="S325" i="11"/>
  <c r="T325" i="11"/>
  <c r="U325" i="11"/>
  <c r="V325" i="11"/>
  <c r="W325" i="11"/>
  <c r="X325" i="11"/>
  <c r="Y325" i="11"/>
  <c r="Z325" i="11"/>
  <c r="O325" i="11"/>
  <c r="P138" i="11"/>
  <c r="Q138" i="11"/>
  <c r="R138" i="11"/>
  <c r="S138" i="11"/>
  <c r="T138" i="11"/>
  <c r="U138" i="11"/>
  <c r="V138" i="11"/>
  <c r="W138" i="11"/>
  <c r="X138" i="11"/>
  <c r="Y138" i="11"/>
  <c r="Z138" i="11"/>
  <c r="O138" i="11"/>
  <c r="P134" i="11"/>
  <c r="Q134" i="11"/>
  <c r="R134" i="11"/>
  <c r="T134" i="11"/>
  <c r="U134" i="11"/>
  <c r="V134" i="11"/>
  <c r="W134" i="11"/>
  <c r="X134" i="11"/>
  <c r="Y134" i="11"/>
  <c r="Z134" i="11"/>
  <c r="O134" i="11"/>
  <c r="AF348" i="11" l="1"/>
  <c r="AE348" i="11"/>
  <c r="AD348" i="11"/>
  <c r="AC348" i="11"/>
  <c r="AF346" i="11"/>
  <c r="AE346" i="11"/>
  <c r="AD346" i="11"/>
  <c r="AC346" i="11"/>
  <c r="AF344" i="11"/>
  <c r="AE344" i="11"/>
  <c r="AD344" i="11"/>
  <c r="AC344" i="11"/>
  <c r="R343" i="11"/>
  <c r="M342" i="11"/>
  <c r="R342" i="11" s="1"/>
  <c r="M341" i="11"/>
  <c r="R340" i="11"/>
  <c r="R339" i="11"/>
  <c r="AF338" i="11"/>
  <c r="AE338" i="11"/>
  <c r="AC338" i="11"/>
  <c r="V337" i="11"/>
  <c r="V336" i="11"/>
  <c r="V335" i="11"/>
  <c r="AF334" i="11"/>
  <c r="AD334" i="11"/>
  <c r="AC334" i="11"/>
  <c r="N334" i="11"/>
  <c r="M333" i="11"/>
  <c r="S333" i="11" s="1"/>
  <c r="M332" i="11"/>
  <c r="N331" i="11" s="1"/>
  <c r="AC331" i="11"/>
  <c r="AF331" i="11"/>
  <c r="AE331" i="11"/>
  <c r="M329" i="11"/>
  <c r="M328" i="11"/>
  <c r="M327" i="11"/>
  <c r="M326" i="11"/>
  <c r="AF325" i="11"/>
  <c r="AE325" i="11"/>
  <c r="AD325" i="11"/>
  <c r="AC325" i="11"/>
  <c r="M324" i="11"/>
  <c r="M323" i="11"/>
  <c r="AF322" i="11"/>
  <c r="AE322" i="11"/>
  <c r="AC322" i="11"/>
  <c r="M318" i="11"/>
  <c r="M317" i="11"/>
  <c r="M316" i="11"/>
  <c r="M315" i="11"/>
  <c r="M312" i="11"/>
  <c r="M311" i="11"/>
  <c r="M310" i="11"/>
  <c r="N309" i="11" s="1"/>
  <c r="AC309" i="11"/>
  <c r="M308" i="11"/>
  <c r="M307" i="11"/>
  <c r="AF306" i="11"/>
  <c r="AE306" i="11"/>
  <c r="AC306" i="11"/>
  <c r="M305" i="11"/>
  <c r="M304" i="11"/>
  <c r="AE303" i="11"/>
  <c r="AD303" i="11"/>
  <c r="AC303" i="11"/>
  <c r="M302" i="11"/>
  <c r="M301" i="11"/>
  <c r="V301" i="11" s="1"/>
  <c r="M300" i="11"/>
  <c r="U299" i="11"/>
  <c r="U298" i="11" s="1"/>
  <c r="Z298" i="11"/>
  <c r="Y298" i="11"/>
  <c r="X298" i="11"/>
  <c r="W298" i="11"/>
  <c r="T298" i="11"/>
  <c r="S298" i="11"/>
  <c r="R298" i="11"/>
  <c r="Q298" i="11"/>
  <c r="P298" i="11"/>
  <c r="O298" i="11"/>
  <c r="M296" i="11"/>
  <c r="M293" i="11"/>
  <c r="M292" i="11"/>
  <c r="Q292" i="11" s="1"/>
  <c r="Q291" i="11" s="1"/>
  <c r="AC291" i="11" s="1"/>
  <c r="Y291" i="11"/>
  <c r="X291" i="11"/>
  <c r="W291" i="11"/>
  <c r="V291" i="11"/>
  <c r="U291" i="11"/>
  <c r="T291" i="11"/>
  <c r="S291" i="11"/>
  <c r="AD291" i="11" s="1"/>
  <c r="R291" i="11"/>
  <c r="N291" i="11"/>
  <c r="M290" i="11"/>
  <c r="M288" i="11"/>
  <c r="M287" i="11"/>
  <c r="M286" i="11"/>
  <c r="M285" i="11"/>
  <c r="M284" i="11"/>
  <c r="M283" i="11"/>
  <c r="AF282" i="11"/>
  <c r="AC282" i="11"/>
  <c r="M281" i="11"/>
  <c r="M280" i="11"/>
  <c r="M279" i="11"/>
  <c r="AF278" i="11"/>
  <c r="AE278" i="11"/>
  <c r="AD278" i="11"/>
  <c r="AC278" i="11"/>
  <c r="AF269" i="11"/>
  <c r="AE269" i="11"/>
  <c r="AD269" i="11"/>
  <c r="AC269" i="11"/>
  <c r="N269" i="11"/>
  <c r="M254" i="11"/>
  <c r="M250" i="11"/>
  <c r="Q247" i="11"/>
  <c r="Q224" i="11" s="1"/>
  <c r="P247" i="11"/>
  <c r="Y246" i="11"/>
  <c r="X246" i="11"/>
  <c r="X224" i="11" s="1"/>
  <c r="W246" i="11"/>
  <c r="W224" i="11" s="1"/>
  <c r="V246" i="11"/>
  <c r="U246" i="11"/>
  <c r="U224" i="11" s="1"/>
  <c r="T246" i="11"/>
  <c r="T224" i="11" s="1"/>
  <c r="S246" i="11"/>
  <c r="R246" i="11"/>
  <c r="R224" i="11" s="1"/>
  <c r="Q246" i="11"/>
  <c r="P246" i="11"/>
  <c r="M234" i="11"/>
  <c r="M233" i="11"/>
  <c r="M232" i="11"/>
  <c r="M231" i="11"/>
  <c r="M230" i="11"/>
  <c r="M229" i="11"/>
  <c r="M228" i="11"/>
  <c r="M227" i="11"/>
  <c r="M226" i="11"/>
  <c r="M225" i="11"/>
  <c r="Z224" i="11"/>
  <c r="O224" i="11"/>
  <c r="U223" i="11"/>
  <c r="U222" i="11"/>
  <c r="M222" i="11"/>
  <c r="M221" i="11"/>
  <c r="U221" i="11" s="1"/>
  <c r="M220" i="11"/>
  <c r="U220" i="11" s="1"/>
  <c r="M219" i="11"/>
  <c r="S218" i="11"/>
  <c r="S217" i="11"/>
  <c r="S216" i="11"/>
  <c r="S215" i="11"/>
  <c r="S214" i="11"/>
  <c r="Q213" i="11"/>
  <c r="Q211" i="11" s="1"/>
  <c r="M213" i="11"/>
  <c r="Z211" i="11"/>
  <c r="Y211" i="11"/>
  <c r="X211" i="11"/>
  <c r="W211" i="11"/>
  <c r="V211" i="11"/>
  <c r="T211" i="11"/>
  <c r="R211" i="11"/>
  <c r="P211" i="11"/>
  <c r="O211" i="11"/>
  <c r="M210" i="11"/>
  <c r="O210" i="11" s="1"/>
  <c r="T210" i="11" s="1"/>
  <c r="M209" i="11"/>
  <c r="O209" i="11" s="1"/>
  <c r="T209" i="11" s="1"/>
  <c r="M208" i="11"/>
  <c r="O208" i="11" s="1"/>
  <c r="T208" i="11" s="1"/>
  <c r="M207" i="11"/>
  <c r="O207" i="11" s="1"/>
  <c r="AF206" i="11"/>
  <c r="AE206" i="11"/>
  <c r="Y205" i="11"/>
  <c r="Y204" i="11" s="1"/>
  <c r="M205" i="11"/>
  <c r="AE204" i="11"/>
  <c r="AD204" i="11"/>
  <c r="AC204" i="11"/>
  <c r="S203" i="11"/>
  <c r="M203" i="11"/>
  <c r="M202" i="11"/>
  <c r="S202" i="11" s="1"/>
  <c r="M201" i="11"/>
  <c r="S201" i="11" s="1"/>
  <c r="M200" i="11"/>
  <c r="S200" i="11" s="1"/>
  <c r="M199" i="11"/>
  <c r="S199" i="11" s="1"/>
  <c r="M198" i="11"/>
  <c r="P197" i="11"/>
  <c r="M196" i="11"/>
  <c r="P196" i="11" s="1"/>
  <c r="M195" i="11"/>
  <c r="P195" i="11" s="1"/>
  <c r="M194" i="11"/>
  <c r="P194" i="11" s="1"/>
  <c r="M193" i="11"/>
  <c r="AF192" i="11"/>
  <c r="W192" i="11"/>
  <c r="V192" i="11"/>
  <c r="U192" i="11"/>
  <c r="T192" i="11"/>
  <c r="R192" i="11"/>
  <c r="Q192" i="11"/>
  <c r="V191" i="11"/>
  <c r="V188" i="11" s="1"/>
  <c r="M191" i="11"/>
  <c r="W191" i="11" s="1"/>
  <c r="W188" i="11" s="1"/>
  <c r="Q190" i="11"/>
  <c r="M190" i="11"/>
  <c r="M189" i="11"/>
  <c r="Z188" i="11"/>
  <c r="Y188" i="11"/>
  <c r="X188" i="11"/>
  <c r="U188" i="11"/>
  <c r="T188" i="11"/>
  <c r="S188" i="11"/>
  <c r="R188" i="11"/>
  <c r="P188" i="11"/>
  <c r="O188" i="11"/>
  <c r="X187" i="11"/>
  <c r="M187" i="11"/>
  <c r="X186" i="11"/>
  <c r="M186" i="11"/>
  <c r="M185" i="11"/>
  <c r="X185" i="11" s="1"/>
  <c r="M184" i="11"/>
  <c r="X184" i="11" s="1"/>
  <c r="X183" i="11"/>
  <c r="M182" i="11"/>
  <c r="X182" i="11" s="1"/>
  <c r="M181" i="11"/>
  <c r="X181" i="11" s="1"/>
  <c r="X180" i="11"/>
  <c r="M180" i="11"/>
  <c r="X179" i="11"/>
  <c r="M179" i="11"/>
  <c r="M178" i="11"/>
  <c r="X178" i="11" s="1"/>
  <c r="M177" i="11"/>
  <c r="X177" i="11" s="1"/>
  <c r="M176" i="11"/>
  <c r="M174" i="11"/>
  <c r="W174" i="11" s="1"/>
  <c r="M173" i="11"/>
  <c r="W173" i="11" s="1"/>
  <c r="M172" i="11"/>
  <c r="W170" i="11"/>
  <c r="M169" i="11"/>
  <c r="W169" i="11" s="1"/>
  <c r="M168" i="11"/>
  <c r="M167" i="11"/>
  <c r="V167" i="11" s="1"/>
  <c r="M166" i="11"/>
  <c r="V166" i="11" s="1"/>
  <c r="V165" i="11"/>
  <c r="M165" i="11"/>
  <c r="M164" i="11"/>
  <c r="Z162" i="11"/>
  <c r="Y162" i="11"/>
  <c r="U162" i="11"/>
  <c r="T162" i="11"/>
  <c r="S162" i="11"/>
  <c r="R162" i="11"/>
  <c r="Q162" i="11"/>
  <c r="P162" i="11"/>
  <c r="O162" i="11"/>
  <c r="M161" i="11"/>
  <c r="T161" i="11" s="1"/>
  <c r="M160" i="11"/>
  <c r="T159" i="11"/>
  <c r="M158" i="11"/>
  <c r="T158" i="11" s="1"/>
  <c r="T157" i="11"/>
  <c r="M157" i="11"/>
  <c r="T156" i="11"/>
  <c r="M156" i="11"/>
  <c r="M155" i="11"/>
  <c r="T155" i="11" s="1"/>
  <c r="M154" i="11"/>
  <c r="T154" i="11" s="1"/>
  <c r="M153" i="11"/>
  <c r="T153" i="11" s="1"/>
  <c r="T152" i="11"/>
  <c r="M152" i="11"/>
  <c r="M151" i="11"/>
  <c r="S151" i="11" s="1"/>
  <c r="M150" i="11"/>
  <c r="S150" i="11" s="1"/>
  <c r="M149" i="11"/>
  <c r="S149" i="11" s="1"/>
  <c r="S148" i="11"/>
  <c r="M148" i="11"/>
  <c r="M147" i="11"/>
  <c r="S147" i="11" s="1"/>
  <c r="M146" i="11"/>
  <c r="R146" i="11" s="1"/>
  <c r="M145" i="11"/>
  <c r="R145" i="11" s="1"/>
  <c r="Z144" i="11"/>
  <c r="Y144" i="11"/>
  <c r="X144" i="11"/>
  <c r="W144" i="11"/>
  <c r="V144" i="11"/>
  <c r="U144" i="11"/>
  <c r="Q144" i="11"/>
  <c r="P144" i="11"/>
  <c r="O144" i="11"/>
  <c r="M143" i="11"/>
  <c r="R143" i="11" s="1"/>
  <c r="AF142" i="11"/>
  <c r="AE142" i="11"/>
  <c r="X141" i="11"/>
  <c r="AC140" i="11"/>
  <c r="AE140" i="11"/>
  <c r="AD140" i="11"/>
  <c r="N140" i="11"/>
  <c r="AC138" i="11"/>
  <c r="AF138" i="11"/>
  <c r="AE138" i="11"/>
  <c r="AD138" i="11"/>
  <c r="N138" i="11"/>
  <c r="M137" i="11"/>
  <c r="S137" i="11" s="1"/>
  <c r="S136" i="11"/>
  <c r="M136" i="11"/>
  <c r="M135" i="11"/>
  <c r="S135" i="11" s="1"/>
  <c r="AF134" i="11"/>
  <c r="AE134" i="11"/>
  <c r="AC134" i="11"/>
  <c r="M133" i="11"/>
  <c r="M132" i="11"/>
  <c r="U132" i="11" s="1"/>
  <c r="U131" i="11" s="1"/>
  <c r="Z131" i="11"/>
  <c r="Y131" i="11"/>
  <c r="X131" i="11"/>
  <c r="W131" i="11"/>
  <c r="T131" i="11"/>
  <c r="S131" i="11"/>
  <c r="R131" i="11"/>
  <c r="Q131" i="11"/>
  <c r="P131" i="11"/>
  <c r="O131" i="11"/>
  <c r="M130" i="11"/>
  <c r="T130" i="11" s="1"/>
  <c r="M129" i="11"/>
  <c r="M128" i="11"/>
  <c r="P128" i="11" s="1"/>
  <c r="M127" i="11"/>
  <c r="Z126" i="11"/>
  <c r="Y126" i="11"/>
  <c r="X126" i="11"/>
  <c r="W126" i="11"/>
  <c r="V126" i="11"/>
  <c r="U126" i="11"/>
  <c r="S126" i="11"/>
  <c r="R126" i="11"/>
  <c r="Q126" i="11"/>
  <c r="O126" i="11"/>
  <c r="M125" i="11"/>
  <c r="Z125" i="11" s="1"/>
  <c r="M124" i="11"/>
  <c r="Z124" i="11" s="1"/>
  <c r="Z123" i="11"/>
  <c r="V123" i="11"/>
  <c r="M123" i="11"/>
  <c r="R123" i="11" s="1"/>
  <c r="Y122" i="11"/>
  <c r="Y119" i="11" s="1"/>
  <c r="V122" i="11"/>
  <c r="M122" i="11"/>
  <c r="R122" i="11" s="1"/>
  <c r="W122" i="11" s="1"/>
  <c r="Q121" i="11"/>
  <c r="M121" i="11"/>
  <c r="M120" i="11"/>
  <c r="Q120" i="11" s="1"/>
  <c r="X119" i="11"/>
  <c r="U119" i="11"/>
  <c r="T119" i="11"/>
  <c r="S119" i="11"/>
  <c r="P119" i="11"/>
  <c r="M118" i="11"/>
  <c r="M117" i="11"/>
  <c r="M116" i="11"/>
  <c r="M115" i="11"/>
  <c r="AF114" i="11"/>
  <c r="AD114" i="11"/>
  <c r="AC114" i="11"/>
  <c r="M113" i="11"/>
  <c r="W113" i="11" s="1"/>
  <c r="M112" i="11"/>
  <c r="W112" i="11" s="1"/>
  <c r="M111" i="11"/>
  <c r="Q111" i="11" s="1"/>
  <c r="M110" i="11"/>
  <c r="Q110" i="11" s="1"/>
  <c r="M109" i="11"/>
  <c r="Q109" i="11" s="1"/>
  <c r="M108" i="11"/>
  <c r="Q108" i="11" s="1"/>
  <c r="X107" i="11"/>
  <c r="AF107" i="11" s="1"/>
  <c r="V107" i="11"/>
  <c r="U107" i="11"/>
  <c r="T107" i="11"/>
  <c r="S107" i="11"/>
  <c r="R107" i="11"/>
  <c r="M106" i="11"/>
  <c r="M105" i="11"/>
  <c r="Z104" i="11"/>
  <c r="Y104" i="11"/>
  <c r="X104" i="11"/>
  <c r="W104" i="11"/>
  <c r="V104" i="11"/>
  <c r="U104" i="11"/>
  <c r="T104" i="11"/>
  <c r="S104" i="11"/>
  <c r="R104" i="11"/>
  <c r="Q104" i="11"/>
  <c r="P104" i="11"/>
  <c r="O104" i="11"/>
  <c r="M103" i="11"/>
  <c r="N102" i="11" s="1"/>
  <c r="AF102" i="11"/>
  <c r="AE102" i="11"/>
  <c r="AC102" i="11"/>
  <c r="AD102" i="11"/>
  <c r="M101" i="11"/>
  <c r="M100" i="11"/>
  <c r="Q100" i="11" s="1"/>
  <c r="AF99" i="11"/>
  <c r="V99" i="11"/>
  <c r="U99" i="11"/>
  <c r="T99" i="11"/>
  <c r="S99" i="11"/>
  <c r="R99" i="11"/>
  <c r="M98" i="11"/>
  <c r="S98" i="11" s="1"/>
  <c r="X98" i="11" s="1"/>
  <c r="M97" i="11"/>
  <c r="AC96" i="11"/>
  <c r="W96" i="11"/>
  <c r="V96" i="11"/>
  <c r="U96" i="11"/>
  <c r="T96" i="11"/>
  <c r="M95" i="11"/>
  <c r="W95" i="11" s="1"/>
  <c r="W90" i="11" s="1"/>
  <c r="V94" i="11"/>
  <c r="S94" i="11"/>
  <c r="M94" i="11"/>
  <c r="V93" i="11"/>
  <c r="S93" i="11"/>
  <c r="M93" i="11"/>
  <c r="X92" i="11"/>
  <c r="P92" i="11"/>
  <c r="M92" i="11"/>
  <c r="X91" i="11"/>
  <c r="P91" i="11"/>
  <c r="M91" i="11"/>
  <c r="Z90" i="11"/>
  <c r="Y90" i="11"/>
  <c r="U90" i="11"/>
  <c r="T90" i="11"/>
  <c r="S90" i="11"/>
  <c r="R90" i="11"/>
  <c r="Q90" i="11"/>
  <c r="M89" i="11"/>
  <c r="M88" i="11"/>
  <c r="M87" i="11"/>
  <c r="AF86" i="11"/>
  <c r="AE86" i="11"/>
  <c r="AD86" i="11"/>
  <c r="V85" i="11"/>
  <c r="S85" i="11"/>
  <c r="M85" i="11"/>
  <c r="V84" i="11"/>
  <c r="S84" i="11"/>
  <c r="M84" i="11"/>
  <c r="M83" i="11"/>
  <c r="Y83" i="11" s="1"/>
  <c r="Y82" i="11"/>
  <c r="M82" i="11"/>
  <c r="Q82" i="11" s="1"/>
  <c r="X81" i="11"/>
  <c r="W81" i="11"/>
  <c r="V81" i="11"/>
  <c r="U81" i="11"/>
  <c r="T81" i="11"/>
  <c r="R81" i="11"/>
  <c r="M80" i="11"/>
  <c r="Q80" i="11" s="1"/>
  <c r="M79" i="11"/>
  <c r="AF78" i="11"/>
  <c r="AE78" i="11"/>
  <c r="AD78" i="11"/>
  <c r="M77" i="11"/>
  <c r="U77" i="11" s="1"/>
  <c r="U74" i="11" s="1"/>
  <c r="M76" i="11"/>
  <c r="Q76" i="11" s="1"/>
  <c r="M75" i="11"/>
  <c r="Z74" i="11"/>
  <c r="Y74" i="11"/>
  <c r="X74" i="11"/>
  <c r="W74" i="11"/>
  <c r="V74" i="11"/>
  <c r="T74" i="11"/>
  <c r="S74" i="11"/>
  <c r="R74" i="11"/>
  <c r="P74" i="11"/>
  <c r="O74" i="11"/>
  <c r="M73" i="11"/>
  <c r="W73" i="11" s="1"/>
  <c r="W70" i="11" s="1"/>
  <c r="M72" i="11"/>
  <c r="Q72" i="11" s="1"/>
  <c r="Q71" i="11"/>
  <c r="M71" i="11"/>
  <c r="Z70" i="11"/>
  <c r="Y70" i="11"/>
  <c r="X70" i="11"/>
  <c r="V70" i="11"/>
  <c r="U70" i="11"/>
  <c r="T70" i="11"/>
  <c r="S70" i="11"/>
  <c r="P70" i="11"/>
  <c r="O70" i="11"/>
  <c r="AF68" i="11"/>
  <c r="AE68" i="11"/>
  <c r="AD68" i="11"/>
  <c r="AC68" i="11"/>
  <c r="AF67" i="11"/>
  <c r="AE67" i="11"/>
  <c r="AD67" i="11"/>
  <c r="AC67" i="11"/>
  <c r="U66" i="11"/>
  <c r="M66" i="11"/>
  <c r="M65" i="11"/>
  <c r="U65" i="11" s="1"/>
  <c r="M64" i="11"/>
  <c r="U64" i="11" s="1"/>
  <c r="M63" i="11"/>
  <c r="U63" i="11" s="1"/>
  <c r="M62" i="11"/>
  <c r="U62" i="11" s="1"/>
  <c r="M61" i="11"/>
  <c r="T61" i="11" s="1"/>
  <c r="M60" i="11"/>
  <c r="R59" i="11"/>
  <c r="R58" i="11" s="1"/>
  <c r="AF58" i="11"/>
  <c r="AC58" i="11"/>
  <c r="M57" i="11"/>
  <c r="R57" i="11" s="1"/>
  <c r="M56" i="11"/>
  <c r="R56" i="11" s="1"/>
  <c r="R55" i="11" s="1"/>
  <c r="AF55" i="11"/>
  <c r="AE55" i="11"/>
  <c r="AC55" i="11"/>
  <c r="M54" i="11"/>
  <c r="M53" i="11"/>
  <c r="M52" i="11"/>
  <c r="M51" i="11"/>
  <c r="AF50" i="11"/>
  <c r="AE50" i="11"/>
  <c r="AD50" i="11"/>
  <c r="M49" i="11"/>
  <c r="M48" i="11"/>
  <c r="M47" i="11"/>
  <c r="M46" i="11"/>
  <c r="AF45" i="11"/>
  <c r="AE45" i="11"/>
  <c r="AC45" i="11"/>
  <c r="AF42" i="11"/>
  <c r="AE42" i="11"/>
  <c r="AD42" i="11"/>
  <c r="AC42" i="11"/>
  <c r="P41" i="11"/>
  <c r="P36" i="11" s="1"/>
  <c r="M40" i="11"/>
  <c r="M39" i="11"/>
  <c r="R39" i="11" s="1"/>
  <c r="M38" i="11"/>
  <c r="R38" i="11" s="1"/>
  <c r="M37" i="11"/>
  <c r="Z36" i="11"/>
  <c r="Y36" i="11"/>
  <c r="W36" i="11"/>
  <c r="V36" i="11"/>
  <c r="U36" i="11"/>
  <c r="T36" i="11"/>
  <c r="Q36" i="11"/>
  <c r="O36" i="11"/>
  <c r="M35" i="11"/>
  <c r="N33" i="11" s="1"/>
  <c r="M34" i="11"/>
  <c r="AF33" i="11"/>
  <c r="AD33" i="11"/>
  <c r="AC33" i="11"/>
  <c r="S32" i="11"/>
  <c r="M31" i="11"/>
  <c r="S31" i="11" s="1"/>
  <c r="M30" i="11"/>
  <c r="S30" i="11" s="1"/>
  <c r="Q29" i="11"/>
  <c r="M28" i="11"/>
  <c r="Q28" i="11" s="1"/>
  <c r="Q27" i="11"/>
  <c r="M27" i="11"/>
  <c r="M26" i="11"/>
  <c r="Q26" i="11" s="1"/>
  <c r="Q25" i="11"/>
  <c r="M24" i="11"/>
  <c r="Q24" i="11" s="1"/>
  <c r="M23" i="11"/>
  <c r="AL22" i="11"/>
  <c r="M22" i="11"/>
  <c r="Q22" i="11" s="1"/>
  <c r="M19" i="11"/>
  <c r="R19" i="11" s="1"/>
  <c r="U19" i="11" s="1"/>
  <c r="M18" i="11"/>
  <c r="AF17" i="11"/>
  <c r="AC17" i="11"/>
  <c r="M16" i="11"/>
  <c r="S16" i="11" s="1"/>
  <c r="M15" i="11"/>
  <c r="S15" i="11" s="1"/>
  <c r="AF14" i="11"/>
  <c r="AE14" i="11"/>
  <c r="AC14" i="11"/>
  <c r="Q13" i="11"/>
  <c r="M13" i="11"/>
  <c r="M12" i="11"/>
  <c r="Q12" i="11" s="1"/>
  <c r="Q11" i="11" s="1"/>
  <c r="AF11" i="11"/>
  <c r="AE11" i="11"/>
  <c r="AD11" i="11"/>
  <c r="V334" i="11" l="1"/>
  <c r="AF144" i="11"/>
  <c r="U58" i="11"/>
  <c r="AE58" i="11" s="1"/>
  <c r="S134" i="11"/>
  <c r="R142" i="11"/>
  <c r="AD142" i="11" s="1"/>
  <c r="W107" i="11"/>
  <c r="AD14" i="11"/>
  <c r="AG14" i="11" s="1"/>
  <c r="S14" i="11"/>
  <c r="O206" i="11"/>
  <c r="O6" i="11" s="1"/>
  <c r="AD90" i="11"/>
  <c r="AE144" i="11"/>
  <c r="AD99" i="11"/>
  <c r="AG102" i="11"/>
  <c r="X140" i="11"/>
  <c r="AF140" i="11" s="1"/>
  <c r="AG140" i="11" s="1"/>
  <c r="AH140" i="11" s="1"/>
  <c r="S20" i="11"/>
  <c r="AE74" i="11"/>
  <c r="AC162" i="11"/>
  <c r="AG282" i="11"/>
  <c r="N50" i="11"/>
  <c r="AH102" i="11"/>
  <c r="AE20" i="11"/>
  <c r="AE81" i="11"/>
  <c r="AF291" i="11"/>
  <c r="AD298" i="11"/>
  <c r="N17" i="11"/>
  <c r="N119" i="11"/>
  <c r="T129" i="11"/>
  <c r="T126" i="11" s="1"/>
  <c r="N278" i="11"/>
  <c r="Q107" i="11"/>
  <c r="AC107" i="11" s="1"/>
  <c r="AD134" i="11"/>
  <c r="AG134" i="11" s="1"/>
  <c r="V90" i="11"/>
  <c r="AE90" i="11" s="1"/>
  <c r="AD55" i="11"/>
  <c r="AG55" i="11" s="1"/>
  <c r="P90" i="11"/>
  <c r="AC90" i="11" s="1"/>
  <c r="AF126" i="11"/>
  <c r="V164" i="11"/>
  <c r="N188" i="11"/>
  <c r="AG42" i="11"/>
  <c r="AH42" i="11" s="1"/>
  <c r="AE291" i="11"/>
  <c r="AG291" i="11" s="1"/>
  <c r="AH291" i="11" s="1"/>
  <c r="Q70" i="11"/>
  <c r="AC70" i="11" s="1"/>
  <c r="AG278" i="11"/>
  <c r="Q83" i="11"/>
  <c r="Q81" i="11" s="1"/>
  <c r="AC81" i="11" s="1"/>
  <c r="N99" i="11"/>
  <c r="T160" i="11"/>
  <c r="Q189" i="11"/>
  <c r="Q188" i="11" s="1"/>
  <c r="AC188" i="11" s="1"/>
  <c r="AE192" i="11"/>
  <c r="N303" i="11"/>
  <c r="N204" i="11"/>
  <c r="AF204" i="11"/>
  <c r="AG204" i="11" s="1"/>
  <c r="N36" i="11"/>
  <c r="N58" i="11"/>
  <c r="AD70" i="11"/>
  <c r="N70" i="11"/>
  <c r="X90" i="11"/>
  <c r="N96" i="11"/>
  <c r="N104" i="11"/>
  <c r="AD131" i="11"/>
  <c r="AC144" i="11"/>
  <c r="X176" i="11"/>
  <c r="P193" i="11"/>
  <c r="S198" i="11"/>
  <c r="Y224" i="11"/>
  <c r="AG269" i="11"/>
  <c r="AH269" i="11" s="1"/>
  <c r="N298" i="11"/>
  <c r="N322" i="11"/>
  <c r="S332" i="11"/>
  <c r="R18" i="11"/>
  <c r="R17" i="11" s="1"/>
  <c r="AF20" i="11"/>
  <c r="Q50" i="11"/>
  <c r="AC50" i="11" s="1"/>
  <c r="AG50" i="11" s="1"/>
  <c r="AG68" i="11"/>
  <c r="AH68" i="11" s="1"/>
  <c r="AE104" i="11"/>
  <c r="AD107" i="11"/>
  <c r="N131" i="11"/>
  <c r="V162" i="11"/>
  <c r="AD188" i="11"/>
  <c r="AC211" i="11"/>
  <c r="AE309" i="11"/>
  <c r="AG325" i="11"/>
  <c r="AE126" i="11"/>
  <c r="V133" i="11"/>
  <c r="V131" i="11" s="1"/>
  <c r="AE131" i="11" s="1"/>
  <c r="AD162" i="11"/>
  <c r="X172" i="11"/>
  <c r="AF303" i="11"/>
  <c r="AG303" i="11" s="1"/>
  <c r="AG344" i="11"/>
  <c r="AH344" i="11" s="1"/>
  <c r="AG348" i="11"/>
  <c r="AH348" i="11" s="1"/>
  <c r="N81" i="11"/>
  <c r="V119" i="11"/>
  <c r="N134" i="11"/>
  <c r="AD322" i="11"/>
  <c r="AG322" i="11" s="1"/>
  <c r="AG67" i="11"/>
  <c r="AH67" i="11" s="1"/>
  <c r="S81" i="11"/>
  <c r="AD81" i="11" s="1"/>
  <c r="AE96" i="11"/>
  <c r="AC104" i="11"/>
  <c r="AF104" i="11"/>
  <c r="N114" i="11"/>
  <c r="AF131" i="11"/>
  <c r="S144" i="11"/>
  <c r="V287" i="11"/>
  <c r="V282" i="11" s="1"/>
  <c r="AC298" i="11"/>
  <c r="AF298" i="11"/>
  <c r="N325" i="11"/>
  <c r="Y81" i="11"/>
  <c r="AF81" i="11" s="1"/>
  <c r="AC11" i="11"/>
  <c r="AG11" i="11" s="1"/>
  <c r="N20" i="11"/>
  <c r="AE33" i="11"/>
  <c r="AG33" i="11" s="1"/>
  <c r="AH33" i="11" s="1"/>
  <c r="N55" i="11"/>
  <c r="Q119" i="11"/>
  <c r="AC119" i="11" s="1"/>
  <c r="AG138" i="11"/>
  <c r="AH138" i="11" s="1"/>
  <c r="AF188" i="11"/>
  <c r="S211" i="11"/>
  <c r="AD20" i="11"/>
  <c r="AD74" i="11"/>
  <c r="N90" i="11"/>
  <c r="AD104" i="11"/>
  <c r="N126" i="11"/>
  <c r="AC131" i="11"/>
  <c r="AF211" i="11"/>
  <c r="AE334" i="11"/>
  <c r="AG334" i="11" s="1"/>
  <c r="AH334" i="11" s="1"/>
  <c r="N338" i="11"/>
  <c r="AG346" i="11"/>
  <c r="AH346" i="11" s="1"/>
  <c r="N11" i="11"/>
  <c r="N86" i="11"/>
  <c r="AD17" i="11"/>
  <c r="AC36" i="11"/>
  <c r="AF70" i="11"/>
  <c r="AF74" i="11"/>
  <c r="W123" i="11"/>
  <c r="W119" i="11" s="1"/>
  <c r="R119" i="11"/>
  <c r="AD119" i="11" s="1"/>
  <c r="AD126" i="11"/>
  <c r="T144" i="11"/>
  <c r="AE188" i="11"/>
  <c r="AD306" i="11"/>
  <c r="AG306" i="11" s="1"/>
  <c r="AD45" i="11"/>
  <c r="AG45" i="11" s="1"/>
  <c r="N45" i="11"/>
  <c r="S192" i="11"/>
  <c r="AD192" i="11" s="1"/>
  <c r="AE36" i="11"/>
  <c r="Q75" i="11"/>
  <c r="Q74" i="11" s="1"/>
  <c r="AC74" i="11" s="1"/>
  <c r="N74" i="11"/>
  <c r="Q79" i="11"/>
  <c r="N78" i="11"/>
  <c r="AC86" i="11"/>
  <c r="AG86" i="11" s="1"/>
  <c r="S40" i="11"/>
  <c r="S36" i="11" s="1"/>
  <c r="X40" i="11"/>
  <c r="X36" i="11" s="1"/>
  <c r="W100" i="11"/>
  <c r="R144" i="11"/>
  <c r="P192" i="11"/>
  <c r="AC192" i="11" s="1"/>
  <c r="T207" i="11"/>
  <c r="AD211" i="11"/>
  <c r="AE70" i="11"/>
  <c r="AE107" i="11"/>
  <c r="N142" i="11"/>
  <c r="AF90" i="11"/>
  <c r="AC142" i="11"/>
  <c r="N144" i="11"/>
  <c r="W168" i="11"/>
  <c r="W162" i="11" s="1"/>
  <c r="AE162" i="11" s="1"/>
  <c r="U219" i="11"/>
  <c r="U211" i="11" s="1"/>
  <c r="AE211" i="11" s="1"/>
  <c r="N224" i="11"/>
  <c r="S283" i="11"/>
  <c r="S282" i="11" s="1"/>
  <c r="AD309" i="11"/>
  <c r="U18" i="11"/>
  <c r="Q23" i="11"/>
  <c r="Q101" i="11"/>
  <c r="W101" i="11" s="1"/>
  <c r="N107" i="11"/>
  <c r="N162" i="11"/>
  <c r="N14" i="11"/>
  <c r="T60" i="11"/>
  <c r="S97" i="11"/>
  <c r="P127" i="11"/>
  <c r="P126" i="11" s="1"/>
  <c r="AC126" i="11" s="1"/>
  <c r="N211" i="11"/>
  <c r="V300" i="11"/>
  <c r="V298" i="11" s="1"/>
  <c r="AE298" i="11" s="1"/>
  <c r="N306" i="11"/>
  <c r="R341" i="11"/>
  <c r="R338" i="11" s="1"/>
  <c r="R37" i="11"/>
  <c r="R36" i="11" s="1"/>
  <c r="AE114" i="11"/>
  <c r="AG114" i="11" s="1"/>
  <c r="Z122" i="11"/>
  <c r="Z119" i="11" s="1"/>
  <c r="AF119" i="11" s="1"/>
  <c r="N192" i="11"/>
  <c r="N282" i="11"/>
  <c r="AH282" i="11" s="1"/>
  <c r="AA6" i="11" l="1"/>
  <c r="I13" i="7" s="1"/>
  <c r="AG142" i="11"/>
  <c r="AH303" i="11"/>
  <c r="AH278" i="11"/>
  <c r="AG126" i="11"/>
  <c r="AH126" i="11" s="1"/>
  <c r="AE6" i="11"/>
  <c r="M13" i="7" s="1"/>
  <c r="Q78" i="11"/>
  <c r="AC78" i="11" s="1"/>
  <c r="AG78" i="11" s="1"/>
  <c r="AH78" i="11" s="1"/>
  <c r="R6" i="11"/>
  <c r="U17" i="11"/>
  <c r="U6" i="11" s="1"/>
  <c r="S331" i="11"/>
  <c r="AD331" i="11" s="1"/>
  <c r="AG331" i="11" s="1"/>
  <c r="AH331" i="11" s="1"/>
  <c r="Z6" i="11"/>
  <c r="T58" i="11"/>
  <c r="AF36" i="11"/>
  <c r="Q20" i="11"/>
  <c r="AC20" i="11" s="1"/>
  <c r="AG20" i="11" s="1"/>
  <c r="AH20" i="11" s="1"/>
  <c r="AC6" i="11"/>
  <c r="K13" i="7" s="1"/>
  <c r="AE119" i="11"/>
  <c r="AG119" i="11" s="1"/>
  <c r="AH119" i="11" s="1"/>
  <c r="AH55" i="11"/>
  <c r="AD338" i="11"/>
  <c r="AG338" i="11" s="1"/>
  <c r="AH338" i="11" s="1"/>
  <c r="T206" i="11"/>
  <c r="AD206" i="11" s="1"/>
  <c r="AG104" i="11"/>
  <c r="AH104" i="11" s="1"/>
  <c r="Y6" i="11"/>
  <c r="AH204" i="11"/>
  <c r="AH325" i="11"/>
  <c r="AF224" i="11"/>
  <c r="AH134" i="11"/>
  <c r="X162" i="11"/>
  <c r="AF162" i="11" s="1"/>
  <c r="AG162" i="11" s="1"/>
  <c r="AH162" i="11" s="1"/>
  <c r="AG107" i="11"/>
  <c r="AH107" i="11" s="1"/>
  <c r="AH50" i="11"/>
  <c r="AG188" i="11"/>
  <c r="AH188" i="11" s="1"/>
  <c r="AD144" i="11"/>
  <c r="AG144" i="11" s="1"/>
  <c r="AH144" i="11" s="1"/>
  <c r="AG309" i="11"/>
  <c r="AH309" i="11" s="1"/>
  <c r="AH322" i="11"/>
  <c r="W99" i="11"/>
  <c r="AG131" i="11"/>
  <c r="AH131" i="11" s="1"/>
  <c r="AG81" i="11"/>
  <c r="AH81" i="11" s="1"/>
  <c r="AH114" i="11"/>
  <c r="AG70" i="11"/>
  <c r="AH70" i="11" s="1"/>
  <c r="P224" i="11"/>
  <c r="P6" i="11" s="1"/>
  <c r="AG74" i="11"/>
  <c r="AH74" i="11" s="1"/>
  <c r="AH306" i="11"/>
  <c r="AH14" i="11"/>
  <c r="AH11" i="11"/>
  <c r="AG298" i="11"/>
  <c r="AH298" i="11" s="1"/>
  <c r="AH142" i="11"/>
  <c r="AG211" i="11"/>
  <c r="AH211" i="11" s="1"/>
  <c r="Q99" i="11"/>
  <c r="AC99" i="11" s="1"/>
  <c r="AG90" i="11"/>
  <c r="AH90" i="11" s="1"/>
  <c r="AH86" i="11"/>
  <c r="N206" i="11"/>
  <c r="N6" i="11" s="1"/>
  <c r="AC206" i="11"/>
  <c r="S224" i="11"/>
  <c r="AH45" i="11"/>
  <c r="AD36" i="11"/>
  <c r="AG36" i="11" s="1"/>
  <c r="AH36" i="11" s="1"/>
  <c r="S96" i="11"/>
  <c r="AD96" i="11" s="1"/>
  <c r="X97" i="11"/>
  <c r="X96" i="11" s="1"/>
  <c r="AF96" i="11" s="1"/>
  <c r="AG192" i="11"/>
  <c r="AH192" i="11" s="1"/>
  <c r="V224" i="11"/>
  <c r="V6" i="11" s="1"/>
  <c r="T6" i="11" l="1"/>
  <c r="AG96" i="11"/>
  <c r="AH96" i="11" s="1"/>
  <c r="X6" i="11"/>
  <c r="Z7" i="11" s="1"/>
  <c r="H13" i="7" s="1"/>
  <c r="AE99" i="11"/>
  <c r="W6" i="11"/>
  <c r="W7" i="11" s="1"/>
  <c r="G13" i="7" s="1"/>
  <c r="AG206" i="11"/>
  <c r="AH206" i="11" s="1"/>
  <c r="AG6" i="11"/>
  <c r="D13" i="7"/>
  <c r="AD58" i="11"/>
  <c r="AG58" i="11" s="1"/>
  <c r="AH58" i="11" s="1"/>
  <c r="AE17" i="11"/>
  <c r="AG17" i="11" s="1"/>
  <c r="AH17" i="11" s="1"/>
  <c r="S6" i="11"/>
  <c r="T7" i="11" s="1"/>
  <c r="F13" i="7" s="1"/>
  <c r="Q6" i="11"/>
  <c r="Q7" i="11" s="1"/>
  <c r="E13" i="7" s="1"/>
  <c r="AB6" i="11"/>
  <c r="J13" i="7" s="1"/>
  <c r="AE224" i="11"/>
  <c r="AD224" i="11"/>
  <c r="AC224" i="11"/>
  <c r="AG99" i="11"/>
  <c r="AH99" i="11" s="1"/>
  <c r="AG224" i="11" l="1"/>
  <c r="AH224" i="11" s="1"/>
  <c r="N80" i="9" l="1"/>
  <c r="Y57" i="9"/>
  <c r="M56" i="9"/>
  <c r="V55" i="9" s="1"/>
  <c r="M54" i="9"/>
  <c r="N46" i="9" s="1"/>
  <c r="M53" i="9"/>
  <c r="M52" i="9"/>
  <c r="R50" i="9" s="1"/>
  <c r="N43" i="9"/>
  <c r="N6" i="8"/>
  <c r="N20" i="9" l="1"/>
  <c r="R53" i="9"/>
  <c r="P6" i="8"/>
  <c r="Q7" i="8" s="1"/>
  <c r="Q6" i="8"/>
  <c r="R6" i="8"/>
  <c r="S6" i="8"/>
  <c r="T6" i="8"/>
  <c r="U6" i="8"/>
  <c r="V6" i="8"/>
  <c r="W6" i="8"/>
  <c r="X6" i="8"/>
  <c r="Y6" i="8"/>
  <c r="Z6" i="8"/>
  <c r="O6" i="8"/>
  <c r="Z61" i="8"/>
  <c r="P61" i="8"/>
  <c r="Q61" i="8"/>
  <c r="R61" i="8"/>
  <c r="S61" i="8"/>
  <c r="T61" i="8"/>
  <c r="U61" i="8"/>
  <c r="V61" i="8"/>
  <c r="W61" i="8"/>
  <c r="X61" i="8"/>
  <c r="Y61" i="8"/>
  <c r="O61" i="8"/>
  <c r="N61" i="8"/>
  <c r="N56" i="8"/>
  <c r="N19" i="8"/>
  <c r="N11" i="8"/>
  <c r="M58" i="8"/>
  <c r="M57" i="8"/>
  <c r="Z56" i="8"/>
  <c r="Y56" i="8"/>
  <c r="X56" i="8"/>
  <c r="W56" i="8"/>
  <c r="V56" i="8"/>
  <c r="U56" i="8"/>
  <c r="T56" i="8"/>
  <c r="S56" i="8"/>
  <c r="R56" i="8"/>
  <c r="Q56" i="8"/>
  <c r="P56" i="8"/>
  <c r="O56" i="8"/>
  <c r="M46" i="8"/>
  <c r="M45" i="8"/>
  <c r="M44" i="8"/>
  <c r="M32" i="8"/>
  <c r="Z19" i="8"/>
  <c r="Y19" i="8"/>
  <c r="X19" i="8"/>
  <c r="W19" i="8"/>
  <c r="V19" i="8"/>
  <c r="U19" i="8"/>
  <c r="T19" i="8"/>
  <c r="S19" i="8"/>
  <c r="R19" i="8"/>
  <c r="Q19" i="8"/>
  <c r="P19" i="8"/>
  <c r="R18" i="8"/>
  <c r="M15" i="8"/>
  <c r="M14" i="8"/>
  <c r="Z11" i="8"/>
  <c r="Y11" i="8"/>
  <c r="X11" i="8"/>
  <c r="W11" i="8"/>
  <c r="V11" i="8"/>
  <c r="U11" i="8"/>
  <c r="T11" i="8"/>
  <c r="S11" i="8"/>
  <c r="R11" i="8"/>
  <c r="Q11" i="8"/>
  <c r="P11" i="8"/>
  <c r="O11" i="8"/>
  <c r="N6" i="6"/>
  <c r="Z7" i="6"/>
  <c r="W7" i="6"/>
  <c r="T7" i="6"/>
  <c r="Q7" i="6"/>
  <c r="P6" i="6"/>
  <c r="Q6" i="6"/>
  <c r="R6" i="6"/>
  <c r="S6" i="6"/>
  <c r="T6" i="6"/>
  <c r="U6" i="6"/>
  <c r="V6" i="6"/>
  <c r="W6" i="6"/>
  <c r="X6" i="6"/>
  <c r="Y6" i="6"/>
  <c r="Z6" i="6"/>
  <c r="O6" i="6"/>
  <c r="P69" i="6"/>
  <c r="Q69" i="6"/>
  <c r="R69" i="6"/>
  <c r="S69" i="6"/>
  <c r="T69" i="6"/>
  <c r="U69" i="6"/>
  <c r="V69" i="6"/>
  <c r="W69" i="6"/>
  <c r="X69" i="6"/>
  <c r="Y69" i="6"/>
  <c r="Z69" i="6"/>
  <c r="O69" i="6"/>
  <c r="N69" i="6"/>
  <c r="N61" i="6"/>
  <c r="P61" i="6"/>
  <c r="Q61" i="6"/>
  <c r="R61" i="6"/>
  <c r="S61" i="6"/>
  <c r="T61" i="6"/>
  <c r="U61" i="6"/>
  <c r="V61" i="6"/>
  <c r="W61" i="6"/>
  <c r="X61" i="6"/>
  <c r="Y61" i="6"/>
  <c r="Z61" i="6"/>
  <c r="O61" i="6"/>
  <c r="P57" i="6"/>
  <c r="Q57" i="6"/>
  <c r="R57" i="6"/>
  <c r="S57" i="6"/>
  <c r="T57" i="6"/>
  <c r="U57" i="6"/>
  <c r="V57" i="6"/>
  <c r="W57" i="6"/>
  <c r="X57" i="6"/>
  <c r="Y57" i="6"/>
  <c r="Z57" i="6"/>
  <c r="O57" i="6"/>
  <c r="P44" i="6"/>
  <c r="Q44" i="6"/>
  <c r="R44" i="6"/>
  <c r="S44" i="6"/>
  <c r="T44" i="6"/>
  <c r="U44" i="6"/>
  <c r="V44" i="6"/>
  <c r="W44" i="6"/>
  <c r="X44" i="6"/>
  <c r="Y44" i="6"/>
  <c r="Z44" i="6"/>
  <c r="O44" i="6"/>
  <c r="P37" i="6"/>
  <c r="Q37" i="6"/>
  <c r="R37" i="6"/>
  <c r="S37" i="6"/>
  <c r="T37" i="6"/>
  <c r="U37" i="6"/>
  <c r="V37" i="6"/>
  <c r="W37" i="6"/>
  <c r="X37" i="6"/>
  <c r="Y37" i="6"/>
  <c r="Z37" i="6"/>
  <c r="O37" i="6"/>
  <c r="P34" i="6"/>
  <c r="Q34" i="6"/>
  <c r="R34" i="6"/>
  <c r="S34" i="6"/>
  <c r="T34" i="6"/>
  <c r="U34" i="6"/>
  <c r="V34" i="6"/>
  <c r="W34" i="6"/>
  <c r="X34" i="6"/>
  <c r="Y34" i="6"/>
  <c r="Z34" i="6"/>
  <c r="O34" i="6"/>
  <c r="P29" i="6"/>
  <c r="Q29" i="6"/>
  <c r="R29" i="6"/>
  <c r="S29" i="6"/>
  <c r="T29" i="6"/>
  <c r="U29" i="6"/>
  <c r="V29" i="6"/>
  <c r="W29" i="6"/>
  <c r="X29" i="6"/>
  <c r="Y29" i="6"/>
  <c r="Z29" i="6"/>
  <c r="O29" i="6"/>
  <c r="P24" i="6"/>
  <c r="Q24" i="6"/>
  <c r="R24" i="6"/>
  <c r="S24" i="6"/>
  <c r="T24" i="6"/>
  <c r="U24" i="6"/>
  <c r="V24" i="6"/>
  <c r="W24" i="6"/>
  <c r="X24" i="6"/>
  <c r="Y24" i="6"/>
  <c r="Z24" i="6"/>
  <c r="O24" i="6"/>
  <c r="P19" i="6"/>
  <c r="Q19" i="6"/>
  <c r="R19" i="6"/>
  <c r="S19" i="6"/>
  <c r="T19" i="6"/>
  <c r="U19" i="6"/>
  <c r="V19" i="6"/>
  <c r="W19" i="6"/>
  <c r="X19" i="6"/>
  <c r="Y19" i="6"/>
  <c r="Z19" i="6"/>
  <c r="O19" i="6"/>
  <c r="P11" i="6"/>
  <c r="Q11" i="6"/>
  <c r="R11" i="6"/>
  <c r="S11" i="6"/>
  <c r="T11" i="6"/>
  <c r="U11" i="6"/>
  <c r="V11" i="6"/>
  <c r="W11" i="6"/>
  <c r="X11" i="6"/>
  <c r="Y11" i="6"/>
  <c r="Z11" i="6"/>
  <c r="O11" i="6"/>
  <c r="M21" i="6"/>
  <c r="M22" i="6"/>
  <c r="R22" i="6" s="1"/>
  <c r="Z7" i="8" l="1"/>
  <c r="W7" i="8"/>
  <c r="T7" i="8"/>
  <c r="N73" i="8"/>
  <c r="Q79" i="6"/>
  <c r="Q74" i="6"/>
  <c r="N57" i="6"/>
  <c r="M60" i="6"/>
  <c r="M55" i="6"/>
  <c r="M53" i="6"/>
  <c r="M52" i="6"/>
  <c r="M50" i="6"/>
  <c r="M49" i="6"/>
  <c r="M48" i="6"/>
  <c r="M47" i="6"/>
  <c r="M36" i="6"/>
  <c r="M35" i="6"/>
  <c r="N34" i="6" s="1"/>
  <c r="M31" i="6"/>
  <c r="M30" i="6"/>
  <c r="N29" i="6" s="1"/>
  <c r="M26" i="6"/>
  <c r="M78" i="6" l="1"/>
  <c r="Q78" i="6" s="1"/>
  <c r="M77" i="6"/>
  <c r="Q77" i="6" s="1"/>
  <c r="M76" i="6"/>
  <c r="Q76" i="6" s="1"/>
  <c r="M73" i="6"/>
  <c r="Q73" i="6" s="1"/>
  <c r="M72" i="6"/>
  <c r="Q72" i="6" s="1"/>
  <c r="M71" i="6"/>
  <c r="Q71" i="6" s="1"/>
  <c r="M64" i="6" l="1"/>
  <c r="M18" i="6"/>
  <c r="M16" i="6"/>
  <c r="M14" i="6"/>
  <c r="N44" i="6"/>
  <c r="N37" i="6"/>
  <c r="M42" i="6"/>
  <c r="M23" i="6"/>
  <c r="N19" i="6" s="1"/>
  <c r="R21" i="6"/>
  <c r="Z63" i="6" l="1"/>
  <c r="Z80" i="6" s="1"/>
  <c r="Y63" i="6"/>
  <c r="Y80" i="6" s="1"/>
  <c r="X63" i="6"/>
  <c r="X80" i="6" s="1"/>
  <c r="W63" i="6"/>
  <c r="W80" i="6" s="1"/>
  <c r="V63" i="6"/>
  <c r="V80" i="6" s="1"/>
  <c r="U63" i="6"/>
  <c r="U80" i="6" s="1"/>
  <c r="T63" i="6"/>
  <c r="T80" i="6" s="1"/>
  <c r="S63" i="6"/>
  <c r="S80" i="6" s="1"/>
  <c r="R63" i="6"/>
  <c r="R80" i="6" s="1"/>
  <c r="Q63" i="6"/>
  <c r="Q80" i="6" s="1"/>
  <c r="P63" i="6"/>
  <c r="P80" i="6" s="1"/>
  <c r="O63" i="6"/>
  <c r="O80" i="6" s="1"/>
  <c r="M63" i="6"/>
  <c r="M28" i="6"/>
  <c r="M27" i="6"/>
  <c r="M17" i="6"/>
  <c r="M15" i="6"/>
  <c r="M13" i="6"/>
  <c r="N11" i="6" s="1"/>
  <c r="N24" i="6" l="1"/>
  <c r="N80" i="6" s="1"/>
  <c r="F37" i="7" l="1"/>
  <c r="C37" i="7"/>
  <c r="G36" i="7"/>
  <c r="G34" i="7"/>
  <c r="G33" i="7"/>
  <c r="N19" i="7"/>
  <c r="M19" i="7"/>
  <c r="L19" i="7"/>
  <c r="K19" i="7"/>
  <c r="J19" i="7"/>
  <c r="I19" i="7"/>
  <c r="H19" i="7"/>
  <c r="G19" i="7"/>
  <c r="F19" i="7"/>
  <c r="E19" i="7"/>
  <c r="D19" i="7"/>
  <c r="C19" i="7"/>
  <c r="G35" i="7" l="1"/>
  <c r="D37" i="7"/>
  <c r="E35" i="7" s="1"/>
  <c r="G37" i="7" l="1"/>
  <c r="E36" i="7"/>
  <c r="E33" i="7"/>
  <c r="E34" i="7"/>
  <c r="E37" i="7"/>
  <c r="S6" i="13" l="1"/>
  <c r="T7" i="13" s="1"/>
  <c r="O81" i="10"/>
  <c r="Q82" i="10" s="1"/>
  <c r="AB82" i="10" s="1"/>
  <c r="W128" i="12"/>
  <c r="N131" i="12" s="1"/>
  <c r="N134" i="12" l="1"/>
  <c r="N132" i="12"/>
  <c r="W129" i="12"/>
  <c r="W130" i="12" s="1"/>
  <c r="X130" i="12" s="1"/>
  <c r="Y130" i="12" s="1"/>
  <c r="Z130"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M8" authorId="0" shapeId="0" xr:uid="{00000000-0006-0000-0000-000002000000}">
      <text>
        <r>
          <rPr>
            <b/>
            <sz val="9"/>
            <color indexed="81"/>
            <rFont val="Tahoma"/>
            <family val="2"/>
          </rPr>
          <t>DELL:</t>
        </r>
        <r>
          <rPr>
            <sz val="9"/>
            <color indexed="81"/>
            <rFont val="Tahoma"/>
            <family val="2"/>
          </rPr>
          <t xml:space="preserve">
รายได้ ม.44</t>
        </r>
      </text>
    </comment>
    <comment ref="M9" authorId="0" shapeId="0" xr:uid="{3E0F0A1D-0123-48C6-B215-913632CB1101}">
      <text>
        <r>
          <rPr>
            <b/>
            <sz val="9"/>
            <color indexed="81"/>
            <rFont val="Tahoma"/>
            <family val="2"/>
          </rPr>
          <t>DELL:</t>
        </r>
        <r>
          <rPr>
            <sz val="9"/>
            <color indexed="81"/>
            <rFont val="Tahoma"/>
            <family val="2"/>
          </rPr>
          <t xml:space="preserve">
งบจังหวัด/กลุ่มจังหวัด / PPA</t>
        </r>
      </text>
    </comment>
    <comment ref="M10" authorId="0" shapeId="0" xr:uid="{9994E9FF-1F5F-4B16-91CC-983EFDDFC329}">
      <text>
        <r>
          <rPr>
            <b/>
            <sz val="9"/>
            <color indexed="81"/>
            <rFont val="Tahoma"/>
            <family val="2"/>
          </rPr>
          <t>DELL:</t>
        </r>
        <r>
          <rPr>
            <sz val="9"/>
            <color indexed="81"/>
            <rFont val="Tahoma"/>
            <family val="2"/>
          </rPr>
          <t xml:space="preserve">
งบจังหวัด</t>
        </r>
      </text>
    </comment>
    <comment ref="M13" authorId="0" shapeId="0" xr:uid="{00000000-0006-0000-0000-000006000000}">
      <text>
        <r>
          <rPr>
            <b/>
            <sz val="9"/>
            <color indexed="81"/>
            <rFont val="Tahoma"/>
            <family val="2"/>
          </rPr>
          <t>DELL:งบจังหวัด  สสส</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Computer</author>
  </authors>
  <commentList>
    <comment ref="E13" authorId="0" shapeId="0" xr:uid="{1FF977F7-E782-4815-9277-E0757CDA7E6B}">
      <text>
        <r>
          <rPr>
            <b/>
            <sz val="9"/>
            <color indexed="81"/>
            <rFont val="Tahoma"/>
            <family val="2"/>
          </rPr>
          <t>Computer:</t>
        </r>
        <r>
          <rPr>
            <sz val="9"/>
            <color indexed="81"/>
            <rFont val="Tahoma"/>
            <family val="2"/>
          </rPr>
          <t xml:space="preserve">
ดำเนินการแล้ว</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R292" authorId="0" shapeId="0" xr:uid="{E686CC0B-800C-4EB9-8CCC-C57171BE7FF8}">
      <text>
        <r>
          <rPr>
            <b/>
            <sz val="9"/>
            <rFont val="TH Sarabun PSK"/>
          </rPr>
          <t>User:</t>
        </r>
        <r>
          <rPr>
            <sz val="9"/>
            <rFont val="TH Sarabun PSK"/>
          </rPr>
          <t xml:space="preserve">
เรียนปรึกษา นพ.สสจ 25-28 มค 65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Preecha</author>
    <author>DELL</author>
  </authors>
  <commentList>
    <comment ref="Z43" authorId="0" shapeId="0" xr:uid="{E87E70BB-54E0-4808-8FBB-DFBDD3BE8EF6}">
      <text>
        <r>
          <rPr>
            <b/>
            <sz val="9"/>
            <color indexed="81"/>
            <rFont val="Tahoma"/>
            <family val="2"/>
          </rPr>
          <t>Preecha:</t>
        </r>
        <r>
          <rPr>
            <sz val="9"/>
            <color indexed="81"/>
            <rFont val="Tahoma"/>
            <family val="2"/>
          </rPr>
          <t xml:space="preserve">
ส.ค.66
</t>
        </r>
      </text>
    </comment>
    <comment ref="L66" authorId="0" shapeId="0" xr:uid="{AFD40721-EE29-415B-A469-A849C420A98D}">
      <text>
        <r>
          <rPr>
            <b/>
            <sz val="9"/>
            <color indexed="81"/>
            <rFont val="Tahoma"/>
            <family val="2"/>
          </rPr>
          <t>Preecha:</t>
        </r>
        <r>
          <rPr>
            <sz val="9"/>
            <color indexed="81"/>
            <rFont val="Tahoma"/>
            <family val="2"/>
          </rPr>
          <t xml:space="preserve">
ซ้ำกับ 10
</t>
        </r>
      </text>
    </comment>
    <comment ref="S83" authorId="1" shapeId="0" xr:uid="{79BBE248-FF1C-4887-9F56-1C704040B3A1}">
      <text>
        <r>
          <rPr>
            <b/>
            <sz val="9"/>
            <color indexed="81"/>
            <rFont val="Tahoma"/>
            <family val="2"/>
          </rPr>
          <t>ออนไลน์ด้วย</t>
        </r>
        <r>
          <rPr>
            <sz val="9"/>
            <color indexed="81"/>
            <rFont val="Tahoma"/>
            <family val="2"/>
          </rPr>
          <t xml:space="preserve">
</t>
        </r>
      </text>
    </comment>
    <comment ref="M86" authorId="1" shapeId="0" xr:uid="{4702F91E-457D-4C94-87CE-D84911B9AEF4}">
      <text>
        <r>
          <rPr>
            <b/>
            <sz val="9"/>
            <color indexed="81"/>
            <rFont val="Tahoma"/>
            <family val="2"/>
          </rPr>
          <t>ปรับออนไลน์ 2/2 ครึ่งบ่าย</t>
        </r>
        <r>
          <rPr>
            <sz val="9"/>
            <color indexed="81"/>
            <rFont val="Tahoma"/>
            <family val="2"/>
          </rPr>
          <t xml:space="preserve">
</t>
        </r>
      </text>
    </comment>
    <comment ref="M87" authorId="1" shapeId="0" xr:uid="{BBBBE5E5-E0E0-4E31-B0DD-63FC173AFB8E}">
      <text>
        <r>
          <rPr>
            <b/>
            <sz val="9"/>
            <color indexed="81"/>
            <rFont val="Tahoma"/>
            <family val="2"/>
          </rPr>
          <t>ลดคน 50 คน</t>
        </r>
        <r>
          <rPr>
            <sz val="9"/>
            <color indexed="81"/>
            <rFont val="Tahoma"/>
            <family val="2"/>
          </rPr>
          <t xml:space="preserve">
</t>
        </r>
      </text>
    </comment>
  </commentList>
</comments>
</file>

<file path=xl/sharedStrings.xml><?xml version="1.0" encoding="utf-8"?>
<sst xmlns="http://schemas.openxmlformats.org/spreadsheetml/2006/main" count="6160" uniqueCount="3009">
  <si>
    <t>¨</t>
  </si>
  <si>
    <t xml:space="preserve"> ภารกิจเขิงยุทธศาสตร์</t>
  </si>
  <si>
    <t xml:space="preserve">1. ยุทธศาสตร์กระทรวงสาธารณสุข  </t>
  </si>
  <si>
    <t>ตัวชี้วัด ..............................................................................................................</t>
  </si>
  <si>
    <t xml:space="preserve">4. ยุทธศาสตร์สำนักงานสาธารณสุขจังหวัดอุบลราชธานี   </t>
  </si>
  <si>
    <t>เป้าประสงค์ ที่ .................................................................................................</t>
  </si>
  <si>
    <t>ลำดับ</t>
  </si>
  <si>
    <t>โครงการและกิจกรรมดำเนินงาน</t>
  </si>
  <si>
    <t>วัตถุประสงค์</t>
  </si>
  <si>
    <t>กลุ่มเป้าหมาย และ เป้าหมาย</t>
  </si>
  <si>
    <t>ระยะเวลาดำเนินการ (ไตรมาส)</t>
  </si>
  <si>
    <t>งบประมาณ</t>
  </si>
  <si>
    <t>งปม.รวม (บาท)</t>
  </si>
  <si>
    <t>งบประมาณ รายไตรมาส (บาท)</t>
  </si>
  <si>
    <t>ผู้รับผิดชอบ</t>
  </si>
  <si>
    <t>แหล่งงบ</t>
  </si>
  <si>
    <t>ไตรมาส 1</t>
  </si>
  <si>
    <t>ไตรมาส 2</t>
  </si>
  <si>
    <t>ไตรมาส 3</t>
  </si>
  <si>
    <t>ไตรมาส 4</t>
  </si>
  <si>
    <t>รายละเอียด</t>
  </si>
  <si>
    <t>บาท</t>
  </si>
  <si>
    <t>ตค</t>
  </si>
  <si>
    <t>พย</t>
  </si>
  <si>
    <t>ธค</t>
  </si>
  <si>
    <t>มค</t>
  </si>
  <si>
    <t>กพ</t>
  </si>
  <si>
    <t>มีค</t>
  </si>
  <si>
    <t>เมย</t>
  </si>
  <si>
    <t>พค</t>
  </si>
  <si>
    <t>มิย</t>
  </si>
  <si>
    <t>กค</t>
  </si>
  <si>
    <t>สค</t>
  </si>
  <si>
    <t>กย</t>
  </si>
  <si>
    <t>ความเชื่อมโยง</t>
  </si>
  <si>
    <t>แผนงาน</t>
  </si>
  <si>
    <t>E</t>
  </si>
  <si>
    <t>โครงการ</t>
  </si>
  <si>
    <t>โครงการที่</t>
  </si>
  <si>
    <t>แผนงาน/โครงการ</t>
  </si>
  <si>
    <t>ตัวชี้วัดที่</t>
  </si>
  <si>
    <t>ตัวชี้วัดตามยุทธศาสตร์(Functional KPIs)</t>
  </si>
  <si>
    <t xml:space="preserve">แผนงานที่ 1 : การพัฒนาคุณภาพชีวิตคนไทยทุกกลุ่มวัย (ด้านสุขภาพ) 
</t>
  </si>
  <si>
    <t>1. โครงการพัฒนาและสร้างเสริมศักยภาพคนไทยทุกกลุ่มวัย</t>
  </si>
  <si>
    <t>อัตราส่วนการตายมารดาไทย ไม่เกิน 16 ต่อการเกิดมีชีพแสนคน</t>
  </si>
  <si>
    <t>เด็กไทยมีการเจริญเติบโตและพัฒนาการสมวัย</t>
  </si>
  <si>
    <t>อัตราการคลอดมีชีพในหญิงอายุ 15-19 ปี (ไม่เกิน 25 ต่อจำนวน ปชก.หญิง15-19ปี 1,000คน)</t>
  </si>
  <si>
    <t>ร้อยละของผู้สูงอายุที่มีภาวะพึ่งพิงได้รับการดูแลตาม Care plan (ร้อยละ 90 )</t>
  </si>
  <si>
    <t xml:space="preserve">ร้อยละของผู้สูงอายุที่ผ่านการคัดกรองและพบว่าเป็น Geriatric Syndromes ได้รับการดูแลรักษาในคลินิกผู้สูงอายุ </t>
  </si>
  <si>
    <t>2. โครงการพัฒนาความรอบรู้ด้านสุขภาพของประชากร</t>
  </si>
  <si>
    <t>แผนงานที่ 2 : การพัฒนาคุณภาพชีวิตระดับอำเภอ</t>
  </si>
  <si>
    <t>3. โครงการการพัฒนาคุณภาพชีวิตระดับอำเภอ (พชอ)</t>
  </si>
  <si>
    <t xml:space="preserve">แผนงานที่ 3 : การป้องกันควบคุมโรคและลดปัจจัยเสี่ยงด้านสุขภาพ 
</t>
  </si>
  <si>
    <r>
      <t>4</t>
    </r>
    <r>
      <rPr>
        <sz val="14"/>
        <rFont val="TH SarabunPSK"/>
        <family val="2"/>
        <charset val="222"/>
      </rPr>
      <t xml:space="preserve"> โครงการพัฒนาระบบการตอบโต้ภาวะฉุกเฉินและภัยสุขภาพ</t>
    </r>
  </si>
  <si>
    <t>5.โครงการควบคุมโรคและภัยสุขภาพ</t>
  </si>
  <si>
    <t>ร้อยละการตรวจติดตามกลุ่มสงสัยป่วยโรคเบาหวาน /ร้อยละการตรวจติดตามกลุ่มสงสัยป่วยโรคความดันโลหิตสูง</t>
  </si>
  <si>
    <t>6. โครงการคุ้มครองผู้บริโภคด้านผลิตภัณฑ์สุขภาพและบริการสุขภาพ</t>
  </si>
  <si>
    <t xml:space="preserve">แผนงานที่ 4 : การบริหารจัดการสิ่งแวดล้อม 
</t>
  </si>
  <si>
    <t>7.โครงการบริหารจัดการสิ่งแวดล้อม</t>
  </si>
  <si>
    <t xml:space="preserve">ร้อยละของโรงพยาบาลที่พัฒนาอนามัยสิ่งแวดล้อมได้ตามเกณฑ์ GREEN&amp;CLEAN Hospital  </t>
  </si>
  <si>
    <t>2. ยุทธศาสตร์ด้านบริการเป็นเลิศ (Service Excellence) 5 แผนงาน 22 โครงการ 31 ตัวชี้วัด</t>
  </si>
  <si>
    <t xml:space="preserve">แผนงานที่ 5 : การพัฒนาระบบการแพทย์ปฐมภูมิ </t>
  </si>
  <si>
    <t xml:space="preserve"> โครงการพัฒนาระบบการแพทย์ปฐมภูมิ</t>
  </si>
  <si>
    <t>โครงการพัฒนาเครือข่ายกำลังคนด้านสุขภาพและ อสม.</t>
  </si>
  <si>
    <t xml:space="preserve">แผนงานที่ 6 : การพัฒนาระบบบริการสุขภาพ (Service Plan) 
</t>
  </si>
  <si>
    <t>โครงการพัฒนาระบบบริการสุขภาพ สาขาโรคไม่ติดต่อเรื้อรัง</t>
  </si>
  <si>
    <t>อัตราตายของผู้ป่วยโรคหลอดเลือดสมอง และได้รับการรักษาใน Stroke Unit</t>
  </si>
  <si>
    <t>โครงการพัฒนาระบบบริการโรคติดต่อ โรคอุบัติใหม่ และโรคอุบัติซ้ำ</t>
  </si>
  <si>
    <t xml:space="preserve">อัตราสําเร็จของการรักษาวัณโรคปอดรายใหม่ </t>
  </si>
  <si>
    <t>โครงการป้องกันและควบคุมการดื้อยาต้านจุลชีพและการใช้ยาอย่างสมเหตุสมผล</t>
  </si>
  <si>
    <t>โครงการพัฒนาระบบบริการสุขภาพ สาขาทารกแรกเกิด</t>
  </si>
  <si>
    <t>อัตราตายทารกแรกเกิดอายุน้อยกว่าหรือเท่ากับ 28 วัน (&lt; 3.6 ต่อ 1,000
ทารกแรกเกิดมีชีพ)</t>
  </si>
  <si>
    <t xml:space="preserve"> โครงการพัฒนาระบบบริการการแพทย์แผนไทยฯ</t>
  </si>
  <si>
    <t>โครงการพัฒนาระบบบริการสุขภาพ สาขาสุขภาพจิตและจิตเวช</t>
  </si>
  <si>
    <t>อัตราการฆ่าตัวตายสำเร็จ</t>
  </si>
  <si>
    <t>โครงการพัฒนาระบบบริการสุขภาพ 5 สาขาหลัก (สูตินารีเวช ศัลยกรรม อายุรกรรม  กุมารเวชกรรม และออร์โธปิดิกส์</t>
  </si>
  <si>
    <t>โครงการพัฒนาระบบบริการสุขภาพ สาขาโรคหัวใจ</t>
  </si>
  <si>
    <t>อัตราตายของผู้ป่วยโรคกล้ามเนื้อหัวใจตายเฉียบพลันชนิด STEMI และการให้การรักษาตามมาตรฐานตามเวลาที่กำหนด</t>
  </si>
  <si>
    <t>โครงการพัฒนาระบบบริการสุขภาพ สาขาโรคมะเร็ง</t>
  </si>
  <si>
    <t>โครงการพัฒนาระบบบริการสุขภาพ สาขาโรคไต</t>
  </si>
  <si>
    <t>โครงการพัฒนาระบบบริการสุขภาพ สาขาจักษุวิทยา</t>
  </si>
  <si>
    <t>โครงการพัฒนาระบบบริการสุขภาพ สาขาปลูกถ่ายอวัยวะ</t>
  </si>
  <si>
    <t>โครงการพัฒนาระบบบริการบำบัดรักษาผู้ป่วยยาเสพติด</t>
  </si>
  <si>
    <t xml:space="preserve">โครงการพัฒนาระบบบริการดูแลระยะกลาง (Intermediate Care) </t>
  </si>
  <si>
    <t xml:space="preserve">โครงการพัฒนาระบบบริการ one day surgery </t>
  </si>
  <si>
    <t>โครงการกัญชาทางการแพทย์</t>
  </si>
  <si>
    <t>ร้อยละของหน่วยบริการสาธารณสุขที่มีการจัดบริการคลินิกกัญชาทางการแพทย์แบบบูรณาการ</t>
  </si>
  <si>
    <t xml:space="preserve">แผนงานที่ 7 : การพัฒนาระบบบริการการแพทย์ฉุกเฉินครบวงจรและระบบการส่งต่อ 
</t>
  </si>
  <si>
    <t>โครงการพัฒนาระบบบริการการแพทย์ฉุกเฉินครบวงจรและระบบการส่งต่อ</t>
  </si>
  <si>
    <t xml:space="preserve">อัตราการเสียชีวิตของผู้ป่วยวิกฤตฉุกเฉิน (triage level 1) ภายใน 24 ชั่วโมง ในโรงพยาบาลระดับ A, S, M1 (ทั้งที่ ER และ Admit)  (&lt; ร้อยละ 12)
</t>
  </si>
  <si>
    <t xml:space="preserve">แผนงานที่ 8 : การพัฒนาตามโครงการพระราชดำริ โครงการเฉลิมพระเกียรติและพื้นที่เฉพาะ 
</t>
  </si>
  <si>
    <t>โครงการพระราชดำริ โครงการเฉลิมพระเกียรติและพื้นที่เฉพาะ</t>
  </si>
  <si>
    <t xml:space="preserve">แผนงานที่ 9 : อุตสาหกรรมทางการแพทย์ครบวงจร การท่องเที่ยวเชิงสุขภาพ ความงามและแพทย์แผนไทย  
</t>
  </si>
  <si>
    <t>โครงการพัฒนาการท่องเที่ยวเชิงสุขภาพและการแพทย์</t>
  </si>
  <si>
    <t>อัตราการเพิ่มขึ้นของจำนวนสถานประกอบการด้านการท่องเที่ยวเชิงสุขภาพที่ได้รับมาตรฐานตามที่กำหนด (ร้อยละ 5)</t>
  </si>
  <si>
    <t xml:space="preserve">แผนงานที่ 10 : การพัฒนาระบบบริหารจัดการกำลังคนด้านสุขภาพ 
</t>
  </si>
  <si>
    <t>โครงการบริหารจัดการกำลังคนด้านสุขภาพ</t>
  </si>
  <si>
    <t>โครงการ Happy MOPH</t>
  </si>
  <si>
    <t xml:space="preserve">แผนงานที่ 11 : การพัฒนาระบบธรรมาภิบาลและองค์กรคุณภาพ
</t>
  </si>
  <si>
    <t>โครงการประเมินคุณธรรม ความโปร่งใส และบริหารความเสี่ยง</t>
  </si>
  <si>
    <t>โครงการพัฒนาองค์กรคุณภาพ</t>
  </si>
  <si>
    <t xml:space="preserve">ร้อยละของโรงพยาบาลสังกัดกระทรวงสาธารณสุขมีคุณภาพมาตรฐานผ่านการรับรอง HA ขั้น 3
</t>
  </si>
  <si>
    <t xml:space="preserve">แผนงานที่ 12 : การพัฒนาระบบข้อมูลสารสนเทศด้านสุขภาพ </t>
  </si>
  <si>
    <t xml:space="preserve">โครงการพัฒนาระบบข้อมูลข่าวสารเทคโนโลยีสุขภาพแห่งชาติ </t>
  </si>
  <si>
    <t xml:space="preserve">แผนงานที่ 13 : การบริหารจัดการด้านการเงินการคลังสุขภาพ 
</t>
  </si>
  <si>
    <t>โครงการลดความเหลื่อมล้ำของ 3 กองทุน</t>
  </si>
  <si>
    <t>ระดับความสำเร็จของการปรับปรุงสิทธิประโยชน์กลางการดูแลปฐมภูมิของระบบหลักประกันสุขภาพ 3 ระบบ   (มีการปรับปรุงสิทธิประโยชน์กลางการดูแลปฐมภูมิของ 3 ระบบ)</t>
  </si>
  <si>
    <t>โครงการบริหารจัดการด้านการเงินการคลัง</t>
  </si>
  <si>
    <t>ร้อยละของหน่วยบริการที่ประสบภาวะวิกฤตทางการเงิน</t>
  </si>
  <si>
    <t xml:space="preserve">แผนงานที่ 14 : การพัฒนางานวิจัย และนวัตกรรมด้านสุขภาพ
</t>
  </si>
  <si>
    <r>
      <t xml:space="preserve">โครงการพัฒนางานวิจัย/นวัตกรรม </t>
    </r>
    <r>
      <rPr>
        <sz val="14"/>
        <rFont val="TH SarabunPSK"/>
        <family val="2"/>
      </rPr>
      <t xml:space="preserve">ผลิตภัณฑ์สุขภาพและเทคโนโลยีทางการแพทย์ </t>
    </r>
  </si>
  <si>
    <t>ภารกิจพื้นฐานอื่นๆ</t>
  </si>
  <si>
    <t xml:space="preserve">หลักเกณฑ์และแนวทางการตั้งงบประมาณและค่าใช้จ่ายในโครงการ </t>
  </si>
  <si>
    <t>รายการ</t>
  </si>
  <si>
    <t>เงื่อนไข</t>
  </si>
  <si>
    <t>อัตราค่าใช้จ่ายตามมาตรการประหยัด</t>
  </si>
  <si>
    <t>ระเบียบ</t>
  </si>
  <si>
    <t>เบี้ยเลี้ยง</t>
  </si>
  <si>
    <r>
      <t>ระดับต่ำกว่าเชี่ยวชาญ(</t>
    </r>
    <r>
      <rPr>
        <u/>
        <sz val="16"/>
        <color indexed="8"/>
        <rFont val="Angsana New"/>
        <family val="1"/>
      </rPr>
      <t>&lt;</t>
    </r>
    <r>
      <rPr>
        <sz val="16"/>
        <color indexed="8"/>
        <rFont val="Angsana New"/>
        <family val="1"/>
      </rPr>
      <t>C8)</t>
    </r>
  </si>
  <si>
    <t>240 บาทต่อคนต่อวัน</t>
  </si>
  <si>
    <t>ระดับเชี่ยวชาญขึ้นไป(C9)</t>
  </si>
  <si>
    <t>270 บาทต่อคนต่อวัน</t>
  </si>
  <si>
    <t>วิทยากร</t>
  </si>
  <si>
    <t>อบรมประเภท ข.</t>
  </si>
  <si>
    <t>ชม.ละไม่เกิน 600 บาทต่อคน</t>
  </si>
  <si>
    <t>จนท.ของรัฐ ชม.ละ</t>
  </si>
  <si>
    <t>บรรยายเบิก ชม.ละ1 คน</t>
  </si>
  <si>
    <t>ไม่เกิน 600 บาท</t>
  </si>
  <si>
    <t>อภิปรายไม่เกิน 5 คน</t>
  </si>
  <si>
    <t>เอกชน ชม.ละไม่เกิน 1,200 บาท</t>
  </si>
  <si>
    <t>แบ่งกลุ่มๆละไม่เกิน 2 คน</t>
  </si>
  <si>
    <t>ค่าอาหารครบมื้อ(ฝึกอบรมประเภท ข และบุคคลภายนอก)</t>
  </si>
  <si>
    <t>ในสถานที่ราชการ</t>
  </si>
  <si>
    <t>ตามอัตราเรียกเก็บจริงไม่เกิน 300 บาท/คน</t>
  </si>
  <si>
    <t>ไม่เกิน 500 บาท</t>
  </si>
  <si>
    <t>เอกชน</t>
  </si>
  <si>
    <t>ตามอัตราเรียกเก็บจริงไม่เกิน 500 บาท/คน</t>
  </si>
  <si>
    <t>ไม่เกิน 800 บาท</t>
  </si>
  <si>
    <t>ค่าอาหารไม่ครบมื้อ(ฝึกอบรมประเภท ข และบุคคลภายนอก)</t>
  </si>
  <si>
    <t>ไม่เกิน 300 บาท</t>
  </si>
  <si>
    <t>อาหารว่างและเครื่องดื่ม (เช้า-บ่าย)</t>
  </si>
  <si>
    <t>จัดที่ สถานที่ราชการ/หน่วยงานรัฐ</t>
  </si>
  <si>
    <t>ไม่เกิน 25 บาท/มื้อ/คน</t>
  </si>
  <si>
    <t>ไม่เกิน 35 บาท/มื้อ/คน</t>
  </si>
  <si>
    <t>ไม่เกิน 50 บาท/มื้อ/คน</t>
  </si>
  <si>
    <t>จ้างเหมารถบัส</t>
  </si>
  <si>
    <t>ทั่วไป</t>
  </si>
  <si>
    <t>ไม่เกิน 15,000 บาท/คัน</t>
  </si>
  <si>
    <t>มีเหตุผลและความจำเป็นประกอบการขออนุมัติ</t>
  </si>
  <si>
    <t>ระยะทางไกลขึ้นที่สูง</t>
  </si>
  <si>
    <t>ไม่เกิน 17,000 บาท/คัน</t>
  </si>
  <si>
    <t>จ้างเหมารถตู้</t>
  </si>
  <si>
    <t>ใน จังหวัด</t>
  </si>
  <si>
    <t xml:space="preserve">ตั้งแต่ 2,000 บาทไม่เกิน 2,500 บาท/คัน รวมน้ำมัน </t>
  </si>
  <si>
    <t>(ขึ้นกับระยะทาง)</t>
  </si>
  <si>
    <t>นอกจังหวัด(ไกล)</t>
  </si>
  <si>
    <t>1,800 บาท/คัน ไม่รวมน้ำมัน (น้ำมันตามจ่ายจริง) ค่าน้ำมันตั้งไว้ที่งบกลาง</t>
  </si>
  <si>
    <t>วัสดุฝึกอบรม</t>
  </si>
  <si>
    <t>ตามความจำเป็น (แต่ไม่เกิน 20 บาท/คน)</t>
  </si>
  <si>
    <t>ค่าโดยสารเครื่องบิน</t>
  </si>
  <si>
    <r>
      <t xml:space="preserve">เฉพาะ ผู้บริหารและ หน.กลุ่มงาน และบุคลากรระดับชำนาญการขึ้นไปที่สามารถเบิกได้ตามสิทธิ
</t>
    </r>
    <r>
      <rPr>
        <sz val="16"/>
        <color indexed="10"/>
        <rFont val="Angsana New"/>
        <family val="1"/>
      </rPr>
      <t>(ช่วยประหยัดไม่จองผ่านบริษัท)</t>
    </r>
  </si>
  <si>
    <t>บุคคลอื่น พิจารณาตามความจำเป็นเร่งด่วน(บอกเหตุราชการที่นั่งรถยนต์ไปไม่ทัน) กรณีพื้นที่ห่างไกลเช่น ภาคเหนือ ภาคใต้  หรือกรณีบริหารมอบหมายไปแทน</t>
  </si>
  <si>
    <t>โดยสารชั้นประหยัด</t>
  </si>
  <si>
    <t>เงินรางวัลในโครงการ</t>
  </si>
  <si>
    <t>จ่ายให้บุคคล (ภายนอก)</t>
  </si>
  <si>
    <t>ไม่เกิน 10,000 บาท/โครงการ</t>
  </si>
  <si>
    <t>จ่ายให้หน่วยงาน/องค์กร</t>
  </si>
  <si>
    <t>ไม่เกิน 30,000 บาท/โครงการ</t>
  </si>
  <si>
    <t>เงื่อนไขการขอใช้รถไปราชการ</t>
  </si>
  <si>
    <t>1.การไปราชการต่างจังหวัด  โดยขอใช้รถทางราชการ</t>
  </si>
  <si>
    <t xml:space="preserve">   หลักการ ให้ดูเหตุผลความจำเป็นเป็นกรณีไป </t>
  </si>
  <si>
    <t xml:space="preserve">                  ไปงานเดียวกันไปด้วยกัน</t>
  </si>
  <si>
    <t xml:space="preserve">2.การใช้รถยนต์ส่วนตัวไปราชการ </t>
  </si>
  <si>
    <t xml:space="preserve">   - ไปต่างจังหวัด  ให้พิจารณาเป็นกรณีไป</t>
  </si>
  <si>
    <t xml:space="preserve">   - ในจังหวัด      ให้เบิกค่าน้ำมันเชื้อเพลิงตามอัตรา</t>
  </si>
  <si>
    <t>หมายเหตุ       กรณีมีความจำเป็นไม่สามารถตั้งงบตามมาตรการได้ ให้เสนอผู้บริหารเป็นรายโครงการ</t>
  </si>
  <si>
    <t xml:space="preserve">          การจัดประชุมให้ใช้สถานที่ของรัฐเป็นหลัก กรณีจัดประชุม อบรม นอกสถานที่ ให้บันทึกชี้แจงเหตุผลความจำเป็นด้วย</t>
  </si>
  <si>
    <t>3.การเบิกเบี้ยเลี้ยงไปราชการในพื้นที่จังหวัดอุบลราชธานี ให้เบิก 120 บาท/คน/วัน (ไม่ถึง 12 ชั่วโมง)</t>
  </si>
  <si>
    <t>จำนวนงบประมาณ ทั้งหมด</t>
  </si>
  <si>
    <t>กองทุน (บาท)</t>
  </si>
  <si>
    <t>อื่นๆ 
(บาท)</t>
  </si>
  <si>
    <t>งวดที่ 1</t>
  </si>
  <si>
    <t>งวดที่ 2</t>
  </si>
  <si>
    <t>จำแนกงบประมาณรายไตรมาส</t>
  </si>
  <si>
    <t>งบประมาณตามแผนปฏิบัติการจำแนกแหล่งงบ (บาท)</t>
  </si>
  <si>
    <t>ผลผลิต สป.(บาท)</t>
  </si>
  <si>
    <t xml:space="preserve"> แผนปฏิบัติการพัฒนางานสาธารณสุข สำนักงานสาธารณสุขจังหวัดอุบลราชธานี   ประจำปีงบประมาณ พ.ศ. 2566</t>
  </si>
  <si>
    <t>2. แผนงาน (แผนงานกระทรวงสาธารณสุข ปี 2566) ...........................................................................</t>
  </si>
  <si>
    <t xml:space="preserve"> 3. โครงการ (โครงการกระทรวงสาธารณสุข ปี 2566) ...........................................................................</t>
  </si>
  <si>
    <t>สำนักงานสาธารณสุขจังหวัดอุบลราชธานี ประจำปีงบประมาณ 2566</t>
  </si>
  <si>
    <t xml:space="preserve">ไม่เกิน 70 บาท/มื้อ/คน </t>
  </si>
  <si>
    <t>ร้อยละของเด็กปฐมวัยที่ได้รับการคัดกรองแล้วพบว่ามีพัฒนาการล่าช้าแล้วได้รับการกระตุ้นพัฒนาการด้วย TEDA4Iฯจนมีพัฒฯการสมวัย</t>
  </si>
  <si>
    <t xml:space="preserve"> ร้อยละผู้สูงอายุมีแผนส่งเสริมสุขภาพดี (Wellness Plan)</t>
  </si>
  <si>
    <t>อัตราความรอบรู้ของประชาชน</t>
  </si>
  <si>
    <t xml:space="preserve">ร้อยละของอำเภอผ่านเกณฑ์การประเมินการพัฒนาคุณภาพชีวิตที่ มีคุณภาพ </t>
  </si>
  <si>
    <t>ระดับความสำเร็จของการพัฒนาระบบการแพทย์ฉุกเฉินและการจัดการภาวะฉุกเฉินทางด้านการแพทย์และสาธารณสุข</t>
  </si>
  <si>
    <t>ร้อยละของจังหวัดต้นแบบการดำเนินงานตาม พรบ.ควบคุมโรคจากการประกอบอาชีพและสิ่งแวดล้อม พ.ศ.2562</t>
  </si>
  <si>
    <t>ร้อยละผลิตภัณฑ์สุขภาพที่ได้รับการส่งเสริมและได้รับอนุญาต</t>
  </si>
  <si>
    <t>ร้อยละของสถานที่จำหน่ายอาหารผ่านเกณฑ์มาตรฐานตามกฎหมายกำหนด</t>
  </si>
  <si>
    <t xml:space="preserve"> จำนวนการจัดตั้งหน่วยบริการปฐมภูมิและเครือข่ายหน่วยบริการปฐมภูมิ ตามพระราชบัญญัติระบบสุขภาพปฐมภูมิ พ.ศ. 2564</t>
  </si>
  <si>
    <t>จำนวนประชาชนคนไทย มีหมอประจำตัว 3 คน</t>
  </si>
  <si>
    <t>ร้อยละของชุมชนมีการดำเนินการจัดการสุขภาพที่เหมาะสมให้กับประชาชน</t>
  </si>
  <si>
    <t xml:space="preserve">ร้อยละจังหวัดที่ขับเคลื่อนการพัฒนาสู่จังหวัดใช้ยาอย่างสมเหตุผล (RDU province) ตามเกณฑ์ที่กำหนด  </t>
  </si>
  <si>
    <t>อัตราการติดเชื้อดื้อยาในกระแสเลือดไม่เพิ่มขึ้นจากปีปฏิทิน
ที่ผ่านมา</t>
  </si>
  <si>
    <t xml:space="preserve"> โครงการพัฒนาระบบการดูแลแบบประคับประคอง และการดูแลผู้ป่วยกึ่งเฉียบพลัน</t>
  </si>
  <si>
    <t>ร้อยละการให้การดูแลตามแผนการดูแลล่วงหน้า (Advance Care Planning) ในผู้ป่วยประคับประคองอย่างมีคุณภาพ</t>
  </si>
  <si>
    <t>ร้อยละของผู้ป่วยนอกที่มีการวินิจฉัยโรคหลอดเลือดสมอง อัมพฤกษ์ อัมพาตระยะกลาง (Intermediate Care) ที่ได้รับการดูแลด้วยศาสตร์การแพทย์แผนไทยและการแพทย์ทางเลือกเพิ่มขึ้น</t>
  </si>
  <si>
    <t>ร้อยละของประชาชนที่มารับบริการในระดับปฐฒภูมิได้รับการดูแลด้วยศาสตร์การแพทย์แผนไทยและการแพทย์ทางเลือก</t>
  </si>
  <si>
    <t>ร้อยละของผู้ป่วยโรคซึมเศร้าเข้าถึงบริการสุขภาพจิต (≥ร้อยละ      )</t>
  </si>
  <si>
    <t xml:space="preserve">อัตราตายผู้ป่วยติดเชื้อในกระแสเลือดแบบรุนแรงชนิด community-acquired </t>
  </si>
  <si>
    <t>Refracture Rate</t>
  </si>
  <si>
    <t>ร้อยละผู้ได้รับการคัดกรองมะเร็ง</t>
  </si>
  <si>
    <r>
      <t>ร้อยละของผู้ป่วย CKD ที่มีอัตราการลดลงของ eGFR&lt;5 ml/min/1.73m2/yr (</t>
    </r>
    <r>
      <rPr>
        <u/>
        <sz val="14"/>
        <rFont val="TH SarabunPSK"/>
        <family val="2"/>
      </rPr>
      <t>&gt;</t>
    </r>
    <r>
      <rPr>
        <sz val="14"/>
        <rFont val="TH SarabunPSK"/>
        <family val="2"/>
        <charset val="222"/>
      </rPr>
      <t>ร้อยละ     )</t>
    </r>
  </si>
  <si>
    <r>
      <t xml:space="preserve">ร้อยละผู้ป่วยตาบอดจากต้อกระจก (Blinding Cataract) ได้รับการผ่าตัดภายใน 30 วัน( </t>
    </r>
    <r>
      <rPr>
        <u/>
        <sz val="14"/>
        <rFont val="TH SarabunPSK"/>
        <family val="2"/>
      </rPr>
      <t>&gt;</t>
    </r>
    <r>
      <rPr>
        <sz val="14"/>
        <rFont val="TH SarabunPSK"/>
        <family val="2"/>
        <charset val="222"/>
      </rPr>
      <t>ร้อยละ     )</t>
    </r>
  </si>
  <si>
    <t>อัตราสวนของจํานวนผูยินยอมบริจาคอวัยวะจากผูปวยสมองตาย ตอจํานวนผูปวย เสียชีวิตในโรงพยาบาล (โรงพยาบาล A, S)</t>
  </si>
  <si>
    <t xml:space="preserve"> ร้อยละของผู้ป่วยยาเสพติดเข้าสู่กระบวนการบำบัดรักษา ได้รับการดูแลอย่างมีคุณภาพ</t>
  </si>
  <si>
    <t>ร้อยละของ ผู้ป่วย Intermediate care * ได้รับการบริบาลฟื้นสภาพและติดตามจนครบ 6 เดือน หรือจน Barthel index = 20 ก่อนครบ 6 เดือน  ( ≥ ร้อยละ      )</t>
  </si>
  <si>
    <t xml:space="preserve">ร้อยละของผู้ป่วยที่เข้ารับการผ่าตัดแบบ One Day Surgery </t>
  </si>
  <si>
    <t xml:space="preserve">ร้อยละของการ Re-admit ภายใน 1 เดือน จากการผ่าตัดโรคนิ่วในถุงน้ำดีและหรือถุงน้ำดีอักเสบ ผ่านการผ่าตัดแผลเล็ก (Minimally Invasive Surgery : MIS) </t>
  </si>
  <si>
    <t xml:space="preserve">ร้อยละของประชากรเข้าถึงบริการการแพทย์ฉุกเฉิน </t>
  </si>
  <si>
    <t xml:space="preserve">อัตราการเสียชีวิตในผู้ป่วยบาดเจ็บที่สมอง (traumatic brain injury mortality)
</t>
  </si>
  <si>
    <t>ร้อยละของผู้ป่วยในพระบรมราชานุเคราะห์และพระราชานุเคราะห์ได้รับการดูแลอย่างมีคุณภาพ</t>
  </si>
  <si>
    <t>ร้อยละของศูนย์เวลเนส (Wellness Center) แหล่งท่องเที่ยวเชิงคุณภาพที่ได้รับการยกระดับแบบมีส่วนร่วมและสร้างสรรค์ด้านภูมิปัญญาการแพทย์แผนไทย การแพทย์ทางเลือกและสมุนไพรให้มีคุณค่าและมูลค่าสูงเพิ่มขึ้น</t>
  </si>
  <si>
    <t xml:space="preserve">ร้อยละของเขตสุขภาพที่มีการบริหารจัดการกำลังคนที่มีประสิทธิภาพ
</t>
  </si>
  <si>
    <t>ดัชนีความสุขของคนทำงาน (Happinometer)</t>
  </si>
  <si>
    <t>ร้อยละของหน่วยงานในสังกัดกระทรวงสาธารณสุขผ่านเกณฑ์การประเมิน ITA (ร้อยละ    )</t>
  </si>
  <si>
    <t xml:space="preserve">ร้อยละของส่วนราชการและหน่วยงานสังกัดกระทรวงสาธารณสุขผ่านเกณฑ์
การตรวจสอบและประเมินผลระบบการควบคุมภายใน  ( ร้อยละ   )
</t>
  </si>
  <si>
    <t xml:space="preserve">ร้อยละความสำเร็จของการประเมินส่วนราชการในสังกัดสำนักงานปลัดกระทรวงสาธารณสุขที่ดำเนินการ PMQA
</t>
  </si>
  <si>
    <t>สถานบริการสังกัดสำนักงานปลัดกระทรวงสาธารณสุขที่ผ่านเกณฑ์การประเมินนโยบาย EMS</t>
  </si>
  <si>
    <t xml:space="preserve"> ร้อยละของจังหวัดที่ผ่านเกณฑ์คุณภาพข้อมูล (ร้อยละ     )</t>
  </si>
  <si>
    <t>ร้อยละของจังหวัดที่มีการใช้บริการศูนย์ข้อมูลกลางด้านสุขภาพของประชาชน</t>
  </si>
  <si>
    <t xml:space="preserve">ความแตกต่างการใช้สิทธิ เมื่อไปใช้บริการผู้ป่วยในของผู้มีสิทธิในระบบหลักประกันสุขภาพถ้วนหน้า </t>
  </si>
  <si>
    <t>จำนวนนวัตกรรมหรือเทคโนโลยีสุขภาพที่คิดค้นใหม่หรือที่พัฒนาต่อยอด</t>
  </si>
  <si>
    <t>รวม 14 แผนงาน 37 โครงการ 59 ตัวชี้วัด</t>
  </si>
  <si>
    <t>ยุทธศาสตร์ชาติ (ด้านสาธารณสุข) ประจำปีงบประมาณ 2566</t>
  </si>
  <si>
    <t>1. ยุทธศาสตร์ด้านส่งเสริมสุขภาพ ป้องกันโรค และคุ้มครองผู้บริโภคเป็นเลิศ (PP&amp;P Excellence) 4 แผนงาน 7 โครงการ 15 ตัวชี้วัด</t>
  </si>
  <si>
    <t>3. ยุทธศาสตร์บุคลากรเป็นเลิศ (People Excellence) 1 แผนงาน 2 โครงการ 2 ตัวชี้วัด</t>
  </si>
  <si>
    <t>4 .แผนยุทธศาสตร์บริหารเป็นเลิศด้วยธรรมาภิบาล (Governance Excellence) 4 แผนงาน 6 โครงการ 11 ตัวชี้วัด</t>
  </si>
  <si>
    <t>¨ ภารกิจประจำ / พื้นฐาน</t>
  </si>
  <si>
    <t>/</t>
  </si>
  <si>
    <t>กลุ่มงาน</t>
  </si>
  <si>
    <t>จำนวนโครงการ</t>
  </si>
  <si>
    <t>พัฒนายุทธศาสตร์</t>
  </si>
  <si>
    <t>บริหารทั่วไป</t>
  </si>
  <si>
    <t>คุ้มครองผู้บริโภคฯ</t>
  </si>
  <si>
    <t>ส่งเสริมสุขภาพ</t>
  </si>
  <si>
    <t>ควบคุมโรค</t>
  </si>
  <si>
    <t>ประกันสุขภาพ</t>
  </si>
  <si>
    <t>กลุ่มกฎหมาย</t>
  </si>
  <si>
    <t>ควบคุมโรคไม่ติดต่อฯ</t>
  </si>
  <si>
    <t>พัฒนาคุณภาพฯ</t>
  </si>
  <si>
    <t>อนามัยสิ่งแวดล้อม ฯ</t>
  </si>
  <si>
    <t>การแพทย์แผนไทย</t>
  </si>
  <si>
    <t>ทันตสาธารณสุข</t>
  </si>
  <si>
    <t>บริหารทรัพยากรบุคคล</t>
  </si>
  <si>
    <t>รวมทั้งสิ้น</t>
  </si>
  <si>
    <t>(ลงชื่อ).........................................ผู้เสนอแผน</t>
  </si>
  <si>
    <t>(ลงชื่อ).........................................ผู้เห็นชอบแผน</t>
  </si>
  <si>
    <t>(ลงชื่อ).........................................ผู้อนุมัติแผน</t>
  </si>
  <si>
    <t xml:space="preserve">          (นางหรรษา ชื่นชูผล)</t>
  </si>
  <si>
    <t xml:space="preserve">          (นายพิทักษ์พงษ์ จันทร์แดง)</t>
  </si>
  <si>
    <t xml:space="preserve">          (นายสุวิทย์ โรจนศักดิ์โสธร)</t>
  </si>
  <si>
    <t>หัวหน้ากลุ่มงานพัฒนายุทธศาสตร์สาธารณสุข</t>
  </si>
  <si>
    <t>รองนายแพทย์สาธารณสุขจังหวัดอุบลราชธานี</t>
  </si>
  <si>
    <t>นายแพทย์สาธารณสุขจังหวัดอุบลราชธานี</t>
  </si>
  <si>
    <t>( นางหรรษา ชื่นชูผล)</t>
  </si>
  <si>
    <t>ผู้เสนอแผน</t>
  </si>
  <si>
    <t>ผู้เห็นชอบแผน</t>
  </si>
  <si>
    <t xml:space="preserve">  ผู้อนุมัติแผน</t>
  </si>
  <si>
    <t>ยุทธศาสตร์</t>
  </si>
  <si>
    <t>เบิกจ่าย</t>
  </si>
  <si>
    <t>จำนวน</t>
  </si>
  <si>
    <t>ร้อยละ</t>
  </si>
  <si>
    <t>ยุทธศาสตร์ที่ 1</t>
  </si>
  <si>
    <t>ยุทธศาสตร์ที่ 2</t>
  </si>
  <si>
    <t>ยุทธศาสตร์ที่ 3</t>
  </si>
  <si>
    <t>ยุทธศาสตร์ที่ 4</t>
  </si>
  <si>
    <t>แบบสรุปแผนปฏิบัติราชการประจำปี 2566 สำนักงานสาธารณสุขจังหวัดอุบลราชธานี</t>
  </si>
  <si>
    <t xml:space="preserve">  (นายธีระพงษ์ แก้วภมร) </t>
  </si>
  <si>
    <t xml:space="preserve">       (นายพิทักษ์พงษ์ จันทร์แดง)</t>
  </si>
  <si>
    <t>สป.</t>
  </si>
  <si>
    <t xml:space="preserve"> โครงการสร้างการมีส่วนร่วมในการกำกับ ติดตาม และประเมินผลการดำเนินงานทันตสาธารณสุข 
จังหวัดอุบลราชธานี ปี 2566
</t>
  </si>
  <si>
    <t>ประสิทธิ์</t>
  </si>
  <si>
    <t xml:space="preserve"> 1. ประชุมคณะกรรมการพัฒนายุทธศาสตร์ และการประเมินผลด้านทันตสาธารณสุข</t>
  </si>
  <si>
    <t xml:space="preserve"> คณะกรรมการพัฒนายุทธศาสตร์ และการประเมินผลด้านทันตสาธารณสุข และ จนท.สสจ.</t>
  </si>
  <si>
    <t>ระบบ WebEx</t>
  </si>
  <si>
    <t xml:space="preserve"> ไม่ใช้งบประมาณ </t>
  </si>
  <si>
    <t xml:space="preserve"> 2. ประชุมชี้แจงประชุมชี้แจงนโยบาย ตัวชี้วัด ranking และข้อมูลในการประเมินผล (หน.ฝ่าย/กลุ่มงาน รพ.,สสอ.,ตัวแทน รพ.สต.ศูนย์วิชาการ)</t>
  </si>
  <si>
    <t xml:space="preserve"> 2. เพื่อชี้แจงประชุมชี้แจงนโยบาย ตัวชี้วัด ranking และข้อมูลในการประเมินผล (หน.ฝ่าย/กลุ่มงาน รพ.,สสอ.,ตัวแทน รพ.สต.ศูนย์วิชาการ)</t>
  </si>
  <si>
    <t xml:space="preserve"> หน.ฝ่าย/กลุ่มงาน รพ.,สสอ.,ตัวแทน รพ.สต.ศูนย์วิชาการ และ จนท.สสจ.</t>
  </si>
  <si>
    <t xml:space="preserve"> - ค่าอาหารกลางวัน จำนวน 65 คนๆละ 70 บาท  
</t>
  </si>
  <si>
    <t xml:space="preserve"> - ค่าอาหารว่าง และเครื่องดื่ม จำนวน 2 มื้อ มื้อละ 25 บาท 65คน  
 </t>
  </si>
  <si>
    <t xml:space="preserve"> หน.ฝ่าย/กลุ่มงาน รพ.,สสอ.,ศูนย์วิชาการ และ จนท.สสจ.</t>
  </si>
  <si>
    <t xml:space="preserve"> - ค่าอาหารว่าง และเครื่องดื่ม จำนวน 2 มื้อ มื้อละ 25 บาท 65 คน  
 </t>
  </si>
  <si>
    <t>โครงการส่งเสริมทันตสุขภาพเด็กวัยเรียน ปี 2566</t>
  </si>
  <si>
    <t xml:space="preserve">1.ประชุมคณะกรรมการพัฒนางานส่งเสริมทันตสุขภาพกลุ่มเด็กวัยเรียนจ.อุบลราชธานี ปี 2566 </t>
  </si>
  <si>
    <t xml:space="preserve">1.เพื่อวางแผนแนวทางการดำเนินงานส่งเสริมทันตสุขภาพในกลุ่มเด็กวัยเรียน </t>
  </si>
  <si>
    <t xml:space="preserve">ทันตบุคลากร เจ้าหน้าที่สาธารณสุข </t>
  </si>
  <si>
    <t>จารุวรรณ</t>
  </si>
  <si>
    <t>2.ประชุมเชิงปฏิบัติการและถอดบทเรียนการดำเนินงานส่งเสริมทันตสุขภาพกลุ่มเด็กวัยเรียน</t>
  </si>
  <si>
    <t>1.เพื่อฟื้นฟูวิชาการ แนวทางการส่งเสริมทันตสุขภาพในกลุ่มเด็กวัยเรียน 2.เพื่อให้ครู ทันตบุคลากรได้แลกเปลี่ยนเรียนรู้การดำเนินงานเพื่อไปพัฒนาในพื้นที่ของตนเอง</t>
  </si>
  <si>
    <t>ทันตบุคลากร เจ้าหน้าที่สาธารณสุข ครู</t>
  </si>
  <si>
    <t>1.เพื่อกำกับติดตามการดำเนินงานโรงเรียนต้นแบบด้านทันตสุขภาพ และโรงเรียนผู้พิทักษ์ฟันดี</t>
  </si>
  <si>
    <t>โครงการพัฒนาศักยภาพ อสม.สาขาทันตสุขภาพ จังหวัดอุบลราชธานี ประจำปี 2566</t>
  </si>
  <si>
    <t>รัชนี</t>
  </si>
  <si>
    <t>2.1 คัดเลือก อสม.ดีเด่น สาขาทันตสุขภาพ</t>
  </si>
  <si>
    <t>เพื่อค้นหาตัวแทน อสม. ดีเด่น สาขาทันตสาธารณสุข ระดับจังหวัด</t>
  </si>
  <si>
    <t xml:space="preserve">อสม.ตัวแทนอำเภอ </t>
  </si>
  <si>
    <t xml:space="preserve"> / </t>
  </si>
  <si>
    <t xml:space="preserve">  บูรณาการร่วมกับฝ่าย พัฒนารูปแบบฯ  </t>
  </si>
  <si>
    <t>2.2 ประชุมเตรียมความพร้อม อสม.ดีเด่น สาขาทันตสุขภาพ ตัวแทนจังหวัดอุบลราชธานี</t>
  </si>
  <si>
    <t>เพื่อเตรียมทีมพี่เลี้ยงระดับอำเภอ จังหวัดและภาคีเครือข่าย</t>
  </si>
  <si>
    <t>คณะกรรมการ ทีมพี่เลี้ยง จำนวน 15 คน</t>
  </si>
  <si>
    <t xml:space="preserve"> - ค่าอาหารกลางวัน จำนวน 15 คนๆละ 70 บาท (15x70)</t>
  </si>
  <si>
    <t xml:space="preserve"> - ค่าอาหารว่าง และเครื่องดื่ม จำนวน 2 มื้อ มื้อละ 25 บาท 15 คน (25x2x15)</t>
  </si>
  <si>
    <t>2.3 ทีมพี่เลี้ยงออกเตรียมพื้นที่ อสม.ดีเด่น สาขาทันตสุขภาพ ตัวแทนจังหวัดอุบลราชธานี</t>
  </si>
  <si>
    <t>เพื่อเตรียมความพร้อมของ      อสม.ตัวแทนจังหวัดอุบลราชธานี ในด้านคุณสมบัติ การดำเนินงานบุคลิกภาพ ไฟล์นำเสนอและเอกสารประกอบ การนำเสนอ และการตอบคำถาม</t>
  </si>
  <si>
    <t>คณะกรรมการ, ทีมพี่เลี้ยง, อสม.ตัวแทนประกวด</t>
  </si>
  <si>
    <t xml:space="preserve"> - ค่าเบี้ยเลี้ยง จำนวน 2 วัน                          
 -  คนละ 120 บาท 5 คน (120x5x2)                 
 -  คนละ 135 บาท  2 คน (135x2x2)</t>
  </si>
  <si>
    <t>ประชุมระบบ Online</t>
  </si>
  <si>
    <t>โครงการจัดซื้อร่วมวัสดุทันตกรรมจังหวัดอุบลราชธานี ปีงบประมาณ 2566</t>
  </si>
  <si>
    <t>1. จัดประชุมระดับจังหวัดเพื่อแลกเปลี่ยนและให้ข้อเสนอแนะในการซื้อร่วมวัสดุทันตกรรม</t>
  </si>
  <si>
    <t>เพื่อพัฒนาระบบการซื้อร่วมวัสดุทันตกรรม</t>
  </si>
  <si>
    <t>ทันตบุคลากร ผู้รับผิดชอบงานทันตสาธารณสุข ใน รพ., สสอ. และทันตาภิบาลใน รพ.สต.</t>
  </si>
  <si>
    <t xml:space="preserve"> - ค่าอาหารว่าง และเครื่องดื่ม จำนวน 2 มื้อ มื้อละ 25 บาท 30 คน (25x2x30)</t>
  </si>
  <si>
    <t xml:space="preserve">2. จัดทำแบบประเมินความพึงพอใจและข้อคิดเห็นเกี่ยวกับวัสดุทันตกรรม ทั้งด้านคุณภาพของวัสดุและการบริการของตัวแทน </t>
  </si>
  <si>
    <t>เพื่อสร้างระบบประเมินความพึงพอใจและข้อคิดเห็นเกี่ยวกับวัสดุทันตกรรม ทั้งด้านคุณภาพของวัสดุและการบริการของตัวแทน</t>
  </si>
  <si>
    <t>ไม่ใช้งบประมาณ</t>
  </si>
  <si>
    <t>3. ติดตามและสรุปรายงานร้อยละการซื้อร่วมวัสดุทันตกรรมเป็นรายไตรมาส โดยกำหนดเกณฑ์ชี้วัด ให้มีร้อยละการซื้อร่วมวัสดุทันตกรรม มากกว่าร้อยละ 30</t>
  </si>
  <si>
    <t>โครงการปฐมนิเทศทันตบุคลากรเข้าใหม่ ปี 2566</t>
  </si>
  <si>
    <t>พีรพงศ์</t>
  </si>
  <si>
    <t>1. กิจกรรมปฐมนิเทศและชี้แจงแนวทางการดำเนินงานด้านทันตสาธารณสุขจังหวัดอุบลราชธานี</t>
  </si>
  <si>
    <t>โครงการส่งเสริมทันตสุขภาพกลุ่มวัยทำงานในสถานประกอบการ จ.อุบลราชธานี ปี 2566</t>
  </si>
  <si>
    <t> 1. ประชุมจัดตั้งคณะกรรมการดำเนินงานส่งเสริมทันตสุขภาพในสถานประกอบการต้นแบบ</t>
  </si>
  <si>
    <t>1.เพื่อส่งเสริมการเข้าถึงบริการของกลุ่มวัยทำงานในสถานประกอบการ</t>
  </si>
  <si>
    <t>2.เพื่อจัดทำเกณฑ์สำหรับสถานประกอบการต้นแบบด้านทันตสุขภาพ</t>
  </si>
  <si>
    <t>2. กิจกรรมออกให้บริการทันตกรรมเชิงรุกในสถานประกอบการ เพื่อเพิ่มการเข้าถึงบริการในกลุ่มวัยทำงานในสถานประกอบการ</t>
  </si>
  <si>
    <t xml:space="preserve">1.เพื่อเพิ่มการเข้าถึงบริการทันตกรรมในกลุ่มวัยทำงานในสถานประกอบการ </t>
  </si>
  <si>
    <t>2. เพื่อกระตุ้นให้เกิดการสร้างรายได้ของหน่วยบริการในกลุ่มวัยทำงานในสถานประกอบการ</t>
  </si>
  <si>
    <t>โครงการคัดกรองรอยโรคก่อนมะเร็งช่องปาก จังหวัดอุบลราชธานี ปีงบประมาณ 2566</t>
  </si>
  <si>
    <t>1. สัปดาห์รณรงค์คัดกรองรอยโรคก่อนมะเร็งในช่องปาก</t>
  </si>
  <si>
    <t>1.1 จัดประชุมชี้แจงการดำเนินงานคัดกรองรอยโรคเสี่ยงมะเร็งในช่องปาก จังหวัดอุบลราชธานี ปี 2566</t>
  </si>
  <si>
    <t>เพื่อชี้แจงให้เกิดความเข้าใจแนวทางการดำเนินงาน แผนการดำเนินงานในปีงบประมาณ 2566 และจัดทำระบบการส่งต่อเคสในแต่ละโซน</t>
  </si>
  <si>
    <t>ทันตบุคลากรผู้รับผิดชอบงานคัดกรองรอยโรคเสี่ยงมะเร็งในช่องปาก จังหวัดอุบลราชธานี ใน รพ., สสอ., รพ.สต.จำนวน 50 คน</t>
  </si>
  <si>
    <t>1.2 จัดประชุมอบรมการตรวจวินิจฉัยรอยโรคเสี่ยงมะเร็งในช่องปากสำหรับทันตาภิบาล และอสม. ในระดับอำเภอ</t>
  </si>
  <si>
    <t>เพื่อเพิ่มศักยภาพให้แก่ทันตบุคลากรในการช่วยคัดกรองรอยโรคก่อนมะเร็งในช่องปาก ผู้ป่วยในแต่ละพื้นที่</t>
  </si>
  <si>
    <t>ทันตาภิบาล และอสม. อำเภอละ 3 คน รวมจำนวน 75 คน</t>
  </si>
  <si>
    <t>2 จัดประชุมเชิงปฏิบัติการให้การรักษา และตัดชิ้นเนื้อผู้ป่วยที่มีรอยโรคก่อนมะเร็งในช่องปากกับทันตแพทย์ ตัวแทนแต่ละโซน</t>
  </si>
  <si>
    <t xml:space="preserve">เพื่อเพิ่มพูนทักษะและประสบการณ์ในการตัดชิ้นเนื้อให้กับทันตแพทย์ภายใต้คำแนะนำของผู้เชี่ยวชาญ </t>
  </si>
  <si>
    <t>โซนที่ 1,2,3,4
- ค่าตอบแทนวิทยากร 2 คน จำนวน 4 ชั่วโมงๆละ 600 บาท</t>
  </si>
  <si>
    <t>- ค่าเบี้ยเลี้ยงคณะทำงานออกประชุมปฎิบัติการต่างอำเภอจำนวนครั้งละ 10 คนๆละ 120 บาท ออกจำนวน 4 ครั้ง
(120x10x4)</t>
  </si>
  <si>
    <t>3. ประชุมนำเสนอเคส presentation , อภิปราย และข้อเสนอแนะในการดำเนินโครงการ</t>
  </si>
  <si>
    <t>1. เพื่อแลกเปลี่ยนเรียนรู้เรื่องการให้คำวิยิจฉัย การรักษา และติดตามผู้ป่วย PMDs</t>
  </si>
  <si>
    <t>ทันตแพทย์ และ    ทันตาภิบาล ในรพ., สสอ. และ รพ.สต. จำนวน 30 คน</t>
  </si>
  <si>
    <t xml:space="preserve"> - ค่าอาหารกลางวัน จำนวน 30 คนๆละ 70 บาท (70x30)
</t>
  </si>
  <si>
    <t>2. เพื่อสรุปให้เห็นผลการดำเนินงานในภาพรวม และให้ข้อเสนอแนะเพื่อการพัฒนาโครงการในอนาคต</t>
  </si>
  <si>
    <t>ค่าที่พักและค่าเดินทางค่าวิทยากร 1 คน</t>
  </si>
  <si>
    <t>โครงการพัฒนาคลินิกทันตกรรมคุณภาพ และพัฒนาระบบการให้บริการทันตกรรม จังหวัดอุบลราชธานี ปีงบประมาณ 2566</t>
  </si>
  <si>
    <t>1. จัดประชุมมาตรฐานแนวทางการจัดบริการทันตกรรมวิถีใหม่เพื่อการรักษาทางทันตกรรม</t>
  </si>
  <si>
    <t>เพื่อให้คลินิกทันตกรรมในภาครัฐ จังหวัดอุบลราชธานีมีแนวทางกลางในการจัดบริการทันตกรรมวิถีใหม่เพื่อการรักษาทางทันตกรรม</t>
  </si>
  <si>
    <t>2. จัดทำแนวทางการจัดบริการทันตกรรม ระบบประเมินคุณภาพคลินิกทันตกรรมในโรงพยาบาล และรพ.สต., คู่มือการจัดบริการทันตกรรมวิถีใหม่เพื่อการรักษาทางทันตกรรม</t>
  </si>
  <si>
    <t>เพื่อให้เกิดการปรับปรุงและพัฒนาคุณภาพ คลินิกทันตกรรมในโรงพยาบาล และรพ.สต. เป็นไปตามการจัดบริการทันตกรรมวิถีใหม่</t>
  </si>
  <si>
    <t xml:space="preserve">  ไม่ใช้งบประมาณ  </t>
  </si>
  <si>
    <t>3. เยี่ยมประเมินการดำเนินงานทันตกรรม อำเภอตัวแทนจาก 4 โซน</t>
  </si>
  <si>
    <t>เพื่อเพิ่มมาตรฐานและศักยภาพในการให้บริการทันตกรรมในหน่วยบริการ</t>
  </si>
  <si>
    <t xml:space="preserve">ค่าเบี้ยเลี้ยงออกเยี่ยม 4 ครั้ง ครั้งละ 5 คน คนละ 120 บาท </t>
  </si>
  <si>
    <t>โครงการแพทย์อาสาสมเด็จพระศรีนครินทราบรมราชชนนี (พอ.สว.) จังหวัดอุบลราชธานี และกิจกรรมเทิดพระเกียรติฯ ปี 2566</t>
  </si>
  <si>
    <t>1. แนวทางการดำเนินงาน กิจกรรมหน่วยแพทย์เคลื่อนที่ พอ.สว. ปี 2566</t>
  </si>
  <si>
    <t>เพื่อให้ผู้รับผิดชอบงาน และผู้ประสาน พอ.สว. มีความเข้าใจในขั้นตอนการดำเนินงาน พอ.สว. ปี 2566</t>
  </si>
  <si>
    <t xml:space="preserve">ผู้ประสาน พอ.สว. อำเภอละ 2 คน รวม 50 คน             </t>
  </si>
  <si>
    <t>ผ่านระบบ WebEx</t>
  </si>
  <si>
    <t xml:space="preserve"> 2. การออกปฏิบัติงานหน่วยแพทย์เคลื่อนที่ พอ.สว.จังหวัดอุบลราชธานี</t>
  </si>
  <si>
    <t>เพื่อให้บริการทางการแพทย์และสาธารณสุขแก่ประชาชนในพื้นที่กันดาร</t>
  </si>
  <si>
    <t>ประชาชน23อำเภอในพื้นที่เป้าหมาย จำนวน 23 ครั้ง</t>
  </si>
  <si>
    <t>ค่าเบี้ยเลี้ยงเจ้าหน้าที่ออกปฏิบัติงาน จำนวน 23 ครั้ง แบ่งเป็น
 *คนละ 135 บาท (135*1*23)
 *คนละ120 บาท (120*5*23)</t>
  </si>
  <si>
    <t xml:space="preserve">3. ประชุมคณะกรรมการ อนุกรรมการและผู้ประสานงาน พอ.สว.จังหวัดอุบลราชธานี </t>
  </si>
  <si>
    <t>เพื่อสรุปผลการดำเนินงานหน่วยแพทย์ พอ.สว. ปี 2566 และจัดทำแผนการดำเนินงาน ปี  2567</t>
  </si>
  <si>
    <t>คระกรรมการ, อนุกรรมการ,อาสาสมัครพอ.สว. ผู้ประสานงาน พอ.สว.ระดับอำเภอ  70 คน</t>
  </si>
  <si>
    <t xml:space="preserve"> - ค่าอาหารว่าง และเครื่องดื่ม จำนวน 1 มื้อ มื้อละ 25 บาท 70 คน (25x70)
 </t>
  </si>
  <si>
    <t>กิจกรรมรณรงค์เพื่อถวายเป็นพระราชกุศลเนื่องในวันคล้ายวันเสด็จสวรรคต สมเด็จพระศรีนครินทราบรมราชชนนี 18 กรกฎาคม</t>
  </si>
  <si>
    <t>การรณรงค์เพื่อเทิดพระเกียรติฯ เนื่องในวันคล้ายวันเสด็จสวรรคตสมเด็จพระศรีนครินทราบรมราชชนนี</t>
  </si>
  <si>
    <t>เพื่อประชาชนทุกหมู่เหล่าน้อมสำนึกในพระมหากรุณาธิคุณในสมเด็จพระศรีนครินทราบรมราชชนนี</t>
  </si>
  <si>
    <t>อาสาสมัครพอ.สว. และประชาชนทั่วไป จำนวน 200 คน พอ.สว.</t>
  </si>
  <si>
    <t>ค่าอาหารว่างเครื่องดื่ม  100 คนๆละ 25 บาท</t>
  </si>
  <si>
    <t>ค่าจตุปัจจัยไทยทาน 5,000 บาท</t>
  </si>
  <si>
    <t xml:space="preserve">ค่าจ้างเหมาป้ายประชาสัมพันธ์ </t>
  </si>
  <si>
    <t>รวม</t>
  </si>
  <si>
    <t>3.ออกเยี่ยม กำกับ ติดตาม โรงเรียนต้นแบบด้านทันตสุขภาพ/โรงเรียนผู้พิทักษ์ฟันดี</t>
  </si>
  <si>
    <t>ให้อำเภอจัดกิจกรรมการออกหน่วยเอง</t>
  </si>
  <si>
    <t>งบอำเภอ</t>
  </si>
  <si>
    <t>3. ออกประเมินต้นแบบการดำเนินงานทันตสุขภาพระดับอำเภอ</t>
  </si>
  <si>
    <t xml:space="preserve">เพื่อให้มีต้นแบบในการดำเนินงานสร้างเสริมด้านทันตสุขภาพในกลุ่มวัยทำงาน ของแต่ละโซน </t>
  </si>
  <si>
    <t xml:space="preserve">ค่าเกียรติบัตรต้นแบบ
</t>
  </si>
  <si>
    <t xml:space="preserve">ค่าตอบแทนวิทยากร 1 คน จำนวน 3 ชั่วโมงๆละ 600 บาท
</t>
  </si>
  <si>
    <t>4. ประชุมสรุปผลงานและจัดทำแผน (หน.ฝ่าย/กลุ่มงาน รพ.,สสอ.,ตัวแทน รพ.สต.ศูนย์วิชาการ)</t>
  </si>
  <si>
    <t xml:space="preserve"> - ค่าอาหารว่าง และเครื่องดื่ม จำนวน 1 มื้อ มื้อละ 25 บาท 65คน  
 </t>
  </si>
  <si>
    <t>งบ PPA เหลือจ่าย ปี 2565</t>
  </si>
  <si>
    <t>โครงการพัฒนาการดำเนินงานส่งเสริมป้องกันทันตสุขภาพในกลุ่มเด็กก่อนวัยเรียน, กลุ่มเด็กวัยเรียนและกลุ่มวัยผู้สูงอายุ จังหวัดอุบลราชธานี ปี 2566</t>
  </si>
  <si>
    <t>2.เพื่อให้เกิดต้นแบบการดำเนินงานด้านการส่งเสริมป้องกัน และรักษาสุขภาพช่องปากในกลุ่มเด็กก่อนวัยเรียน</t>
  </si>
  <si>
    <t xml:space="preserve">2. คณะกรรมการกลุ่มเด็กวัยเรียน, กลุ่มเด็กวัยเรียน และกลุ่มวัยผู้สูงอายุ </t>
  </si>
  <si>
    <t xml:space="preserve">1.เวทีสรุปผลงานการดำเนินงานต้นแบบการพัฒนาส่งเสริมทันตสุขภาพกลุ่มเด็กก่อนวัยเรียน ปี 2566 </t>
  </si>
  <si>
    <t xml:space="preserve"> - ค่าอาหารกลางวัน จำนวน 100 คนๆละ 300 บาท (100x300)
</t>
  </si>
  <si>
    <t xml:space="preserve"> - ค่าอาหารว่าง และเครื่องดื่ม จำนวน 1 มื้อ มื้อละ 50 บาท 100 คน (50x1x100)</t>
  </si>
  <si>
    <t xml:space="preserve"> - ค่าตอบแทนวิทยากร จำนวน 2 คนๆละ 2 ชั่วโมงๆ ละ 600 บาท(2x2x600)</t>
  </si>
  <si>
    <t xml:space="preserve"> - ค่าจัดทำป้ายเวที</t>
  </si>
  <si>
    <t>PPA เหลือจ่าย ปี 2565</t>
  </si>
  <si>
    <t>1.เพื่อให้เกิดการพัฒนาการดำเนินงานส่งเสริมป้องกัน และรักษาสุขภาพช่องปากในกลุ่มเด็กก่อนวัยเรียน</t>
  </si>
  <si>
    <t xml:space="preserve">2.เวทีสรุปผลงานการดำเนินงานต้นแบบการพัฒนาส่งเสริมทันตสุขภาพกลุ่มเด็กวัยเรียนและผู้สูงอายุ ปี 2566 </t>
  </si>
  <si>
    <t>1.เพื่อให้เกิดการพัฒนาการดำเนินงานส่งเสริมป้องกัน และรักษาสุขภาพช่องปากในกลุ่มเด็กวัยเรียนและผู้สูงอายุ</t>
  </si>
  <si>
    <t>2.เพื่อให้เกิดต้นแบบการดำเนินงานด้านการส่งเสริมป้องกัน และรักษาสุขภาพช่องปากในกลุ่มเด็กวัยเรียนและผู้สูงอายุ</t>
  </si>
  <si>
    <t>3. เพื่อให้ประชาชนกลุ่มเด็กวัยเรียนและผู้สูงอายุมีสภาวะสุขภาพช่องปากที่ดี</t>
  </si>
  <si>
    <t>3. เพื่อให้ประชาชนกลุ่มเด็กก่อนวัยเรียนมีสภาวะสุขภาพช่องปากที่ดี</t>
  </si>
  <si>
    <t>ตัวแทนผู้สูงอายุ ,ผู้นำท้องถิ่น, ครู,บุคลากรทางการศึกษา,นักเรียน และ ทันตบุคลากร และ จนท.สาธารณสุข จำนวน 200 คน</t>
  </si>
  <si>
    <t>ครูผู้ดูแลเด็ก,ผู้นำท้องถิ่น และ ทันตบุคลากร และ จนท.สาธารณสุข จำนวน 100 คน</t>
  </si>
  <si>
    <t xml:space="preserve"> - ค่าอาหารกลางวัน จำนวน 200 คนๆละ 700 บาท (200x70)
</t>
  </si>
  <si>
    <t xml:space="preserve"> - ค่าอาหารว่าง และเครื่องดื่ม จำนวน 2 มื้อ มื้อละ 25 บาท 200 คน (25x2x200)</t>
  </si>
  <si>
    <t xml:space="preserve"> - ค่าตอบแทนวิทยากร จำนวน 8 คนๆละ 2 ชั่วโมงๆ ละ 600 บาท(8x2x600)</t>
  </si>
  <si>
    <t xml:space="preserve"> - ค่าอาหารกลางวัน จำนวน 30 คนๆละ 70 บาท (30x70)</t>
  </si>
  <si>
    <t xml:space="preserve"> - ค่าอาหารว่าง และเครื่องดื่ม จำนวน 2 มื้อ มื้อละ 25 บาท 30 คน (30x2x25)</t>
  </si>
  <si>
    <t xml:space="preserve"> - ค่าอาหารกลางวัน จำนวน 50 คนๆละ 70 บาท (50x70)
</t>
  </si>
  <si>
    <t xml:space="preserve"> - ค่าอาหารว่าง และเครื่องดื่ม จำนวน 2 มื้อ มื้อละ 25 บาท 50 คน (50x2x25)
 </t>
  </si>
  <si>
    <t>ทันตบุคลากรจบใหม่จังหวัดอุบลราชธานี ปี 2566</t>
  </si>
  <si>
    <t>เพื่อเตรียมความพร้อมในการดำเนินงานทันตสาธารณสุข สำหรับทันตบุคลากรที่จบใหม่ ปี 2566</t>
  </si>
  <si>
    <t xml:space="preserve"> - ค่าเบี้ยเลี้ยงกรรมการประเมิน จำนวน 6 คน x 4 ครั้ง x 120 บาท
</t>
  </si>
  <si>
    <t xml:space="preserve"> - ค่าอาหารกลางวัน จำนวน 75 คนๆละ 70 บาท (75x70)
</t>
  </si>
  <si>
    <t xml:space="preserve"> - ค่าอาหารว่าง และเครื่องดื่ม จำนวน 2 มื้อ มื้อละ 25 บาท 75 คน (75x2x25)
 </t>
  </si>
  <si>
    <t xml:space="preserve"> โซนที่ 1,2,3,4 
- ค่าอาหารกลางวัน จำนวน 30 คนๆละ 70 บาท (30x70x4)
     </t>
  </si>
  <si>
    <t xml:space="preserve"> โซนที่ 1,2,3,4
- ค่าอาหารว่าง และเครื่องดื่ม จำนวน 2 มื้อ มื้อละ 25 บาท 30 คน (30x2x25x4)             </t>
  </si>
  <si>
    <t>PPA เหลือจ่าย 65</t>
  </si>
  <si>
    <t>1.เพื่อสร้างการมีส่วนร่วมในการกำหนดยุทธศาสตร์ กำกับ ติดตาม และประเมินผลการดำเนินงานทันตสาธารณสุข ระดับตำบล อำเภอและจังหวัด</t>
  </si>
  <si>
    <t xml:space="preserve"> 3. ประชุมติดตามการดำนินงานรอบ6เดือน หน.ฝ่าย/กลุ่มงานทันตฯ รพ./สสอ./รพ.สต. และศูนย์วิชาการ</t>
  </si>
  <si>
    <r>
      <t>-ค่าเบี้ยเลี้ยงจำนวน 4 วันๆละ 12 คนๆละ 120 บาท</t>
    </r>
    <r>
      <rPr>
        <sz val="10"/>
        <color rgb="FFFF0000"/>
        <rFont val="Tahoma"/>
        <family val="2"/>
      </rPr>
      <t xml:space="preserve"> </t>
    </r>
    <r>
      <rPr>
        <sz val="10"/>
        <rFont val="Tahoma"/>
        <family val="2"/>
      </rPr>
      <t>เป็นเงิน 5,760บาท</t>
    </r>
  </si>
  <si>
    <t xml:space="preserve"> - ค่าอาหารว่าง และเครื่องดื่ม จำนวน 2 มื้อ มื้อละ 25 บาท 100 คน  
 </t>
  </si>
  <si>
    <t xml:space="preserve">-ค่าอาหารกลางวัน จำนวน 100 คนๆละ 70 บาท     </t>
  </si>
  <si>
    <t>กระตุ้นการจัดบริการทันตกรรมในสถานประกอบการ</t>
  </si>
  <si>
    <t>คณะกรรมการดำเนินงานทันตสาธารณสุขกลุ่มวัยทำงาน, การดำเนินงานในสถานประกอบการ</t>
  </si>
  <si>
    <t>ทันตแพทย์ตัวแทนโซนและผู้ป่วย จำนวน 4 โซน</t>
  </si>
  <si>
    <t xml:space="preserve"> แผนปฏิบัติการพัฒนางานสาธารณสุข สำนักงานสาธารณสุขจังหวัดอุบลราชธานี   ประจำปีงบประมาณ พ.ศ. 2565</t>
  </si>
  <si>
    <t>โครงการตรวจสอบภายในและควบคุมภายใน</t>
  </si>
  <si>
    <t>1.1 กิจกรรมจัดประชุมคณะกรรมการภาคีเครือข่าย ตรวจสอบภายใน ควบคุมภายใน  และการบริหารความเสี่ยง  จังหวัดอุบลราชธานี</t>
  </si>
  <si>
    <t>คณะกรรมการตรวจสอบภายในระดับจังหวัดและระดับอำเภอ</t>
  </si>
  <si>
    <t>ค่าอาหาร  (20*70*2 ครั้ง/ปี)</t>
  </si>
  <si>
    <t>อดิศักดิ์/โสภิฏ์สุดา</t>
  </si>
  <si>
    <t xml:space="preserve"> ค่าอาหารว่างและเครื่องดื่ม (20*25*4 ครั้ง/ปี)</t>
  </si>
  <si>
    <t xml:space="preserve">1.2 กิจกรรมจัดประชุมคณะกรรมการพิจารณาค่าตอบแทนฯ </t>
  </si>
  <si>
    <t xml:space="preserve">คณะกรรมการพิจารณาค่าตอบแทนระดับจังหวัด </t>
  </si>
  <si>
    <t xml:space="preserve"> ค่าอาหารว่างและเครื่องดื่ม (15*25*4 ครั้ง/ปี)</t>
  </si>
  <si>
    <t>1.3 กิจกรรมตรวจสอบภายใน</t>
  </si>
  <si>
    <t>หน่วยรับตรวจ รพศ/รพท/รพช/ รพสต./สสอ.</t>
  </si>
  <si>
    <t>ค่าเบี้ยเลี้ยงออกตรวจสอบภายใน(10*120*25)</t>
  </si>
  <si>
    <t xml:space="preserve">1.4  กิจกรรมประชุมเชิงปฏิบัติการประเมินประสิทธิภาพระบบควบคุมภายในด้วยระบบอิเล็กทรอนิกส์ 5 มิติ ( Electronics  Internal  Audit : EIA )
</t>
  </si>
  <si>
    <t>ผู้รับผิดชอบระบบควบคุมภายใน รพศ/รพท/รพช/</t>
  </si>
  <si>
    <t>ค่าอาหาร   (10*70*1 ครั้ง/ปี)</t>
  </si>
  <si>
    <t xml:space="preserve"> ค่าอาหารว่างและเครื่องดื่ม (10*25*2*1 ครั้ง/ปี)</t>
  </si>
  <si>
    <t>ค่าตอบแทนวิทยากร (6*600*1)</t>
  </si>
  <si>
    <t>โครงการบริหารจัดการกระบวนการจัดหาพัสดุ</t>
  </si>
  <si>
    <t>2.1ดำเนินการด้านจัดหาครุภัณฑ์ 
งปม. 2566  15 โครงการ</t>
  </si>
  <si>
    <t>คณะกรรมการกำหนดราคากลาง 1 คก.</t>
  </si>
  <si>
    <t xml:space="preserve">ประชุมคณะกรรมการกำหนดราคากลาง </t>
  </si>
  <si>
    <t>ไปรยา</t>
  </si>
  <si>
    <t>ค่าตอบแทนคณะกรรมการ 3 คน  (3*1000*1 ครั้ง)</t>
  </si>
  <si>
    <t>คณะกรรมการพิจารณาผล 1 คก.</t>
  </si>
  <si>
    <t xml:space="preserve">ประชุมคณะกรรมการพิจารณาผล </t>
  </si>
  <si>
    <t xml:space="preserve">ค่าตอบแทนคณะกรรมการ 3 คน   </t>
  </si>
  <si>
    <t>(3*1000*1 ครั้ง)</t>
  </si>
  <si>
    <t>คณะกรรมการตรวจรับพัสดุ 1 คก.</t>
  </si>
  <si>
    <t xml:space="preserve">เบี้ยประชุมคณะกรรมการตรวจรับ </t>
  </si>
  <si>
    <t xml:space="preserve"> ค่าอาหารและเครื่องดื่ม         (7*25*15 ครั้ง)</t>
  </si>
  <si>
    <t xml:space="preserve">2.2 ดำเนินการด้านจัดหาสิ่งก่อสร้าง งบ ปี 2566 </t>
  </si>
  <si>
    <t>คณะกรรมการกำหนดราคากลาง 10 คก.</t>
  </si>
  <si>
    <t>ศักดิ์ศรี/ชุติมา/ณัฐฏกานต์</t>
  </si>
  <si>
    <t>(จนท.สสจ.+ศบส.10)</t>
  </si>
  <si>
    <t>บ้านพัก นพ.สสจ.อบ.</t>
  </si>
  <si>
    <t>บ้านพัก สสอ.,รพ.สต. 3 แห่ง</t>
  </si>
  <si>
    <t>อาคาร รพช. 6 แห่ง</t>
  </si>
  <si>
    <t>ค่าตอบแทนคณะกรรมการ 2 คน</t>
  </si>
  <si>
    <t>(2*1000*9 ครั้ง)</t>
  </si>
  <si>
    <t>คณะกรรมการพิจารณาผล</t>
  </si>
  <si>
    <t>ประชุมคณะกรรมการพิจารณาผล</t>
  </si>
  <si>
    <t xml:space="preserve">ค่าตอบแทนคณะกรรมการ 2 คน   </t>
  </si>
  <si>
    <t xml:space="preserve">งบปี 66 </t>
  </si>
  <si>
    <t>คณะกรรมการตรวจการจ้าง</t>
  </si>
  <si>
    <t>งบปี 66 จำนวน 10 โครงการ</t>
  </si>
  <si>
    <t>-บ้านพัก สสอ.,รพ.สต. 3 แห่ง      (2 คน*1000*9 ครั้ง)</t>
  </si>
  <si>
    <t>-บ้านพัก นพ.สสจ.อบ.              (3*1000*5 ครั้ง)</t>
  </si>
  <si>
    <t>2.3 ดำเนินการโครงการจัดประชุม</t>
  </si>
  <si>
    <t>เจ้าหน้าที่ สนง.สสจ.อบ 20 ท่าน</t>
  </si>
  <si>
    <t>ศักดิ์ศรี/นภัสนันท์/ไปรยา</t>
  </si>
  <si>
    <t>ด้านพัสดุ</t>
  </si>
  <si>
    <t>เจ้าหน้าที่ รพช.,สสอ. 100 ท่าน</t>
  </si>
  <si>
    <t>-ค่าอาหารกลางวัน</t>
  </si>
  <si>
    <t>(120 คน*1วัน*1ครั้ง*70 บาท)</t>
  </si>
  <si>
    <t>-ค่าอาหารว่างและเครื่องดื่ม</t>
  </si>
  <si>
    <t>(120 คน*1วัน*2ครั้ง*25 บาท)</t>
  </si>
  <si>
    <t xml:space="preserve"> - ค่าวิทยากร</t>
  </si>
  <si>
    <t>( 1 คน * 2 ชม*1 วัน*600 บาท)</t>
  </si>
  <si>
    <t>ค่าวัสดุฝึกอบรม</t>
  </si>
  <si>
    <t>( 120 คน *120 บาท)</t>
  </si>
  <si>
    <t>โครงการพัฒนาศักยภาพผู้ปฏิบัติงานด้านบริหารให้มีประสิทธิภาพ</t>
  </si>
  <si>
    <t>3.1 ประชุมกลุ่มผู้ปฏิบัติงานด้านบริหาร</t>
  </si>
  <si>
    <t>เพื่อให้ผู้ปฏิบัติงานด้านบริหารสามารถดำเนินการด้านบริหาร การเงิน พัสดุ บุคลากร ตรวจสอบได้</t>
  </si>
  <si>
    <t>ผช.สสอ./หัวหน้าบริหาร รพท.,รพช./จนท.สสจ.อบ.กลุ่มบริหารทั่วไป,บริหารทรัพยากร,กฎหมาย จำนวน 60 คน</t>
  </si>
  <si>
    <t xml:space="preserve"> -ค่าอาหารไม่ครบมื้อ       (60*70*2)</t>
  </si>
  <si>
    <t>เดือนฉาย/พรทิวา</t>
  </si>
  <si>
    <t xml:space="preserve"> -ค่าอาหารว่างและเครื่องดื่ม (เช้า-บ่าย)   (60*25*4)</t>
  </si>
  <si>
    <t>3.2 ประชุมคณะกรรมการร้านค้าสวัสดิการสำนักงานสาธารณสุขจังหวัดอุบลราชธานี</t>
  </si>
  <si>
    <t>เพื่อพัฒนาการจัดสวัสดิกการร้านค้าให้มีประสิทธิภาพมากขึ้น</t>
  </si>
  <si>
    <t>คณะกรรมการร้านค้าสวัสดิการ 10 คน</t>
  </si>
  <si>
    <t>เดือนฉาย</t>
  </si>
  <si>
    <t>3.3 ประชุมคณะกรรการพิจารณาบ้านพักสำนักงานสาธารณสุขจังหวัดอุบลราชธานี</t>
  </si>
  <si>
    <t>เพื่อพิจารณาการจัดบ้านพักราชการเป็นไปด้วยความเรียบร้อยตามหลักเกณฑ์และวิธีการปฏิบัติ</t>
  </si>
  <si>
    <t>คณะกรรมการพิจารณาบ้านพัก 10 คน</t>
  </si>
  <si>
    <t>พรทิวา</t>
  </si>
  <si>
    <t>โครงการพัฒนาคุณภาพบัญชี</t>
  </si>
  <si>
    <t>4.1 กิจกรรมจัดประชุม เชิงปฏิบัติการปิดบัญชี  ปี 2566</t>
  </si>
  <si>
    <t>เพื่อพัฒนาข้อมูลด้านการเงินการคลัง รายงานทางการเงิน มีคุณภาพ</t>
  </si>
  <si>
    <t>นักบัญชี สสจ. จำนวน 9 คน   รพท/รพชจำนวน 26 คน</t>
  </si>
  <si>
    <t xml:space="preserve"> ค่าอาหารไม่ครบมื้อ 60*70*1</t>
  </si>
  <si>
    <t>นางลักษณะวะดี  สุพรม   น.ส.นลินรัตน์  พงศ์สิริธนาทร</t>
  </si>
  <si>
    <t>สสอ. จำนวน 25 คน</t>
  </si>
  <si>
    <t xml:space="preserve"> ค่าอาหารว่างและเครื่องดื่ม  60*25*2</t>
  </si>
  <si>
    <t>รวม 60 คน</t>
  </si>
  <si>
    <t xml:space="preserve">4.2 กิจกรรมประชุมสอบทานงบทดลองประจำเดือน แม่ข่าย จำนวน 4 ครั้ง </t>
  </si>
  <si>
    <t>นักบัญชี สสจ. จำนวน 9 คน</t>
  </si>
  <si>
    <t>ค่าอาหารไม่ครบมื้อ
35*70*4</t>
  </si>
  <si>
    <t>รพท/รพช 26 คน</t>
  </si>
  <si>
    <t xml:space="preserve"> ค่าอาหารว่างและเครื่องดื่ม 35*25*2*4</t>
  </si>
  <si>
    <t>รวม 35 คน</t>
  </si>
  <si>
    <t>4.3 กิจกรรมประชุมสอบทานงบทดลองประจำเดือนลูกข่าย จำนวน 4 ครั้ง</t>
  </si>
  <si>
    <t>นักบัญชี สสจ./สสอ. 35 คน</t>
  </si>
  <si>
    <t>ค่าอาหารไม่ครบมื้อ
  35*70*4</t>
  </si>
  <si>
    <t>4.4 กิจกรรมประชุมชี้แจงแนวทางการเบิกจ่ายเงิน 2 ครั้ง</t>
  </si>
  <si>
    <t>เพื่อพัฒนาการเบิกจ่ายตามงบประมาณที่จัดสรร</t>
  </si>
  <si>
    <t>นักบัญชี สสจ./รพท./รพช./สสอ. 60 คน</t>
  </si>
  <si>
    <t xml:space="preserve"> ค่าอาหารไม่ครบมื้อ 60*70*2</t>
  </si>
  <si>
    <t>นางลักษณะวะดี  สุพรม  นางณัฐชยา  จำปาแพง  น.ส.สมจิต  บรรพชาติ</t>
  </si>
  <si>
    <t xml:space="preserve"> ค่าอาหารว่างและเครื่องดื่ม  60*25*2*2</t>
  </si>
  <si>
    <t xml:space="preserve">ประชุมเชิงปฏิบัติการ Concept Health literacy (วิทยากร : ศ.ดร. อาภาพร เผ่าวัฒนา คณะสาธารณสุขศาสตร์ มหิดล)
</t>
  </si>
  <si>
    <t>จนท.งาน ANC+LR+PP+นวก.ส่งเสริมฯ</t>
  </si>
  <si>
    <t>ü</t>
  </si>
  <si>
    <t>1. ค่าบรรยายวิทยากร 600 บาท x 3 hr.</t>
  </si>
  <si>
    <t>วรุณรัตน์</t>
  </si>
  <si>
    <t>อ.หรรษา จะชี้งบให้คะ</t>
  </si>
  <si>
    <t>ค่าอาหารและอาหารว่าง ให้วิทยากรสอนออนไลน์ : 120 บาท x 6 คน x 4 ครั้ง</t>
  </si>
  <si>
    <t>ประชุม MCH BOARD +วิชาการสัญจร ตาม Node สูติศาตร์ จ.อุบลฯ (conference case nearmiss,miss)</t>
  </si>
  <si>
    <t>1. เพื่อกำกับติดตามระบบและคุณภาพการดำเนินงานอนามัยแม่และเด็ก จังหวัดอุบลฯ</t>
  </si>
  <si>
    <t>จนท.งาน ANC+LR+PP+นวก.ส่งเสริมฯ Node และ ลูก Node</t>
  </si>
  <si>
    <t>ค่าวิทยาการ 600 บาทx 2 hr.x 2 คน x 5 node</t>
  </si>
  <si>
    <t>2. เพื่อให้เจ้าหน้าที่ปฏิบัติงานได้รับความรู้ที่ทันสมัยเป็นปัจจุบันในการดำเนินงาน</t>
  </si>
  <si>
    <t>ค่าเบี้ยเลี้ยง 240 บาท x 5 คน x 5 node</t>
  </si>
  <si>
    <t>3.เพื่อรับทราบปัญหาและนำปัญหามาปรับปรุงแก้ไขในระดับจังหวัดอุบลฯ หรือให้ตรงกับบริบทพื้นที่</t>
  </si>
  <si>
    <t xml:space="preserve">โครงการเด็กไทยพัฒนาการสมวัย IQดี เติบโตดี เริ่มที่ครอบครัวคุณภาพ จังหวัดอุบลราชธานี      </t>
  </si>
  <si>
    <t>ส่งเสริมฯ/NCD</t>
  </si>
  <si>
    <t>งบจังหวัด</t>
  </si>
  <si>
    <t>กิจกรรมที่ 1 ส่งเสริมความรอบรู้(Health Literacy)พัฒนาการเด็กสำหรับครูผู้ดูแลเด็ก  หลักสูตรการส่งเสริมพัฒนาการผ่านการเรียนรู้แบบ High Scope (หลักสูตร 11 วัน)</t>
  </si>
  <si>
    <t xml:space="preserve">1. เพื่อส่งเสริมพัฒนาการของเด็ก ผ่านการเรียนรู้แบบไฮ/สโคป (High/Scope) ที่เน้นการลงมือทำอย่างมีส่วนร่วม active participatory ตามวงจรของ การวางแผน การปฏิบัติ และการทบทวน ( plan-do-review cycle ) ผ่านมุมเล่นที่หลากหลายด้วยสื่อและกิจกรรมที่เหมาะสม </t>
  </si>
  <si>
    <t>ครูผู้ดูแลเด็ก สถานพัฒนาเด็กเล็กต้นแบบจำนวน 40 แห่งๆละ 2 คน รวม 80 คน</t>
  </si>
  <si>
    <t>สนับสนุนค่าใช้จ่ายเหมารวมตลอดหลักสูตร ในการอบรม ครูศูนย์พัฒนาเด็กเล็กต้นแบบ High scope จำนวน 40 แห่ง ๆ ละ 2 คนๆ ละ 19,500 บาท เป็นเงิน 1,560,000 บาท</t>
  </si>
  <si>
    <t>อรญา สายเสมา</t>
  </si>
  <si>
    <t xml:space="preserve">กิจกรรมที่ 2 พัฒนาศักยภาพทีมพัฒนาเด็กและครอบครัว ในชุมชน (CFCT : Child Family Community Team) จังหวัดอุบลราชธานี
กิจกรรมย่อยที่ 2.1  จัดอบรมทีม CFCTจังหวัดอุบลราชธานี หลักสูตร 2 วัน
</t>
  </si>
  <si>
    <t xml:space="preserve">2. เพื่อส่งเสริมพัฒนาการเด็กตั้งแต่จุดเริ่มต้นของชีวิต นับตั้งแต่เริ่มตั้งครรภ์จนถึงวัยเด็ก ให้ได้รับบริการส่งเสริมสุขภาพและโภชนาการภายใต้การขับเคลื่อบมหัศจรรย์ 1000 วันแรกของชีวิต โดยทีมจิตอาสาพัฒนาเด็กและครอบครัว (Child Family Community Team : CFCT ) ในชุมชน </t>
  </si>
  <si>
    <t>ทีมจิตอาสาพัฒนาเด็กและครอบครัว (Child Family Community Team : CFCT ) ในชุมชน อำเภอละ 50 คน จำนวน 25 แห่ง รวม 1,250 คน</t>
  </si>
  <si>
    <t xml:space="preserve">ค่าอาหารกลางวันผู้เข้าอบรม จำนวน1,250 คน จำนวน 2 มื้อๆละ 80 บาท  = 200,000 บาท  
</t>
  </si>
  <si>
    <t>จิรนันท์ เวียงนนท์</t>
  </si>
  <si>
    <t xml:space="preserve">3. เพื่อส่งเสริมการเรียนรู้ ปลูกฝัง และกระตุ้นพัฒนาการเด็กปฐมวัย ภายใต้กระบวนการจัดกิจกรรมผ่านสื่อการเล่นและการอ่านของครูและผู้ปกครอง  </t>
  </si>
  <si>
    <t xml:space="preserve">ค่าอาหารว่างและเครื่องดื่มผู้เข้าอบรม 1,250 คน จำนวน 4 มื้อ มื้อละ 25 บาท =125,000 บาท </t>
  </si>
  <si>
    <t>ค่าตอบแทนวิทยากร จำนวน 2 วันๆละ 6 ชั่วโมงๆ ละ  300  บาท 25 รุ่น = 90,000 บาท</t>
  </si>
  <si>
    <t xml:space="preserve">ค่าวัสดุ  1,250 คนๆ ละ 30   บาท  = 80,000 บาท    </t>
  </si>
  <si>
    <t>กิจกรรมย่อยที่ 2.2  สรุปถอดบทเรียนแลกเปลี่ยนเรียนรู้ผลการพัฒนา ทีมพัฒนาเด็กและครอบครัวในชุมชน (CFCT : Child Family Community Team ) จังหวัดอุบลราชธานี จำนวน 25 แห่ง รวม 250 คน</t>
  </si>
  <si>
    <t>ทีมจิตอาสาพัฒนาเด็กและครอบครัว (Child Family Community Team : CFCT ) ในชุมชน อำเภอละ 10 คน จำนวน 25 แห่ง รวม 250 คน</t>
  </si>
  <si>
    <t xml:space="preserve">ค่าอาหารผู้เข้าอบรม จำนวน 250 คนๆละ 1 มื้อๆ ละ 80 บาท = 20,000  บาท
</t>
  </si>
  <si>
    <t>ค่าอาหารและเครื่องดื่มผู้เข้าอบรม 250 คนๆละ 2 มื้อๆละ 25 บาท = 12,500 บาท</t>
  </si>
  <si>
    <t>3) ค่าตอบแทนวิทยากร จำนวน 6 ชั่วโมงๆ ละ  300  บาท = 1,800 บาท</t>
  </si>
  <si>
    <t>4) ค่าวัสดุและใบประกาศเกียรติคุณ 250 คนๆละ 50 บาท   =12,500 บาท</t>
  </si>
  <si>
    <t>กิจกรรมที่ 3 สนับสนุนชุดของเล่น สาธิตการฝึกทักษะส่งเสริมพัฒนาการและการสร้างวินัยเชิงบวกในเด็กปฐมวัย</t>
  </si>
  <si>
    <t>ทีม CFCT หมู่บ้านต้นแบบในพื้นที่ ศพด.ทุกแห่ง ๆ ละ 1 ทีม รวม 40 ทีม</t>
  </si>
  <si>
    <t>จัดซื้อชุดของเล่น สาธิตการฝึก
ทักษะส่งเสริมพัฒนาการและการสร้างวินัยเชิงบวกในเด็กปฐมวัย ให้ทีม CFCT  รพสต.ละ 1 ทีมๆ ละ 1 ชุด จำนวน 40 ชุดๆ ละ 6,000บาท= 240,000 บาท</t>
  </si>
  <si>
    <t>กิจกรรมที่ 4 พัฒนาศักยภาพบุคลากรสาธารณสุขในการกระตุ้นพัฒนาการเด็กพัฒนาการล่าช้า ด้วยเครื่องมือTEDA4I</t>
  </si>
  <si>
    <t xml:space="preserve"> -   ค่าชุดอุปกรณ์ฝึกกระตุ้นพัฒนาการเด็กพัฒนาล่าช้า TEDA4I จำนวน 330 ชุดๆละ 4,900 บาท</t>
  </si>
  <si>
    <t>เนาวรัตน์  สืบภา</t>
  </si>
  <si>
    <t>งบจังหวัดอุบลฯ</t>
  </si>
  <si>
    <t>กิจกรรมที่ 5 Coaching ทักษะการใช้คู่มือกระตุ้นพัฒนาการเด็ก</t>
  </si>
  <si>
    <t xml:space="preserve">   ค่าตอบแทนวิทยากร Coaching จำนวน 2 คนๆละ 3 ชั่วโมงๆละ 600 บาท 25 วัน</t>
  </si>
  <si>
    <t xml:space="preserve">   ค่าเบี้ยเลี้ยงเจ้าหน้าออกปฏิบัติงาน จำนวน 7 คนๆ ละ 25 วันๆ ละ 240 บาท</t>
  </si>
  <si>
    <t>กิจกรรมที่ 6 การป้องกันปัญหาสุขภาพจิตเด็กด้านพฤติกรรมและอารมณ์จังหวัดอุบลราชธานี ผู้เข้าร่วมอบรมจำนวน 300 คน   (แบ่งการอบรมเป็น 6 รุ่นๆละ 1 วันๆ 50 คน)</t>
  </si>
  <si>
    <t xml:space="preserve">     ค่าอาหารกลางวันผู้เข้าอบรม จำนวน 300 คน x 1 มื้อ x มื้อละ 150 บาท</t>
  </si>
  <si>
    <t xml:space="preserve">     ค่าอาหารว่างและเครื่องดื่มผู้เข้าอบรม 300 คนๆ ละ 2 มื้อ xมื้อละ 25 บาท </t>
  </si>
  <si>
    <t xml:space="preserve">    ค่าตอบแทนวิทยากรบรรยายจำนวน 1 คน 3 ชั่วโมงๆ ละ 600 บาท  6 วัน</t>
  </si>
  <si>
    <t xml:space="preserve">    ค่าตอบแทนวิทยากรกลุ่มจำนวน 3 คน 3 ชั่วโมงๆ ละ 600 บาท  6 วัน</t>
  </si>
  <si>
    <t xml:space="preserve"> -  ค่าวัสดุจัดอบรม 65 บาท จำนวน 300 คน</t>
  </si>
  <si>
    <t>ชัยสิทธิ์ เรืองโรจน์</t>
  </si>
  <si>
    <t>กลุ่มจังหวัด</t>
  </si>
  <si>
    <t xml:space="preserve">กิจกรรมที่ 1 พัฒนาศักยภาพแกนนำในการส่งเสริมเด็กปฐมวัยด้วยหลักสูตร TRIPLE P 
การสร้างและเลี้ยงดูลูกเชิงบวก 
</t>
  </si>
  <si>
    <t>1. เพื่อให้พ่อแม่ผู้ดูแลเด็กได้ตระหนักถึงหลักการเลี้ยงลูกเชิงบวก เพื่อเสริมสร้างความสัมพันธ์ และ
วินัยเชิงบวกในครอบครัว ซึ่งเป็นจุดเริ่มต้นของวัยเด็ก วัยรุ่น วัยผู้ใหญ่และวัยสูงอายุ</t>
  </si>
  <si>
    <t xml:space="preserve"> CFCT/อสม./ผู้นำชุมชน/ผอ.กองการศึกษา/จนท.สาธารณสุข/จิตอาสาพัฒนาการเด็ก จำนวน 400 คน</t>
  </si>
  <si>
    <t xml:space="preserve"> ค่าอาหารว่างและเครื่องดื่ม (เช้า-บ่าย) 50 บาท x 400 คน x 2 วัน = 40,000  บาท</t>
  </si>
  <si>
    <t xml:space="preserve">2. เด็กอายุ 0 -5 ปี มีพัฒนาการสมวัย  มีความสมบูรณ์ทั้งร่างกาย จิตใจ มีสติปัญญา และสังคมที่ดี     
</t>
  </si>
  <si>
    <t xml:space="preserve"> ค่าอาหารกลางวัน 100 บาท x 400 คน x 2 วัน = 80,000  บาท</t>
  </si>
  <si>
    <t xml:space="preserve">3. เตรียมความพร้อมให้เด็กปฐมวัยมีพัฒนาการสมวัย เสริมสร้างพัฒนาการที่ถูกต้องและเหมาะสม ให้ได้รับบริการส่งเสริมด้าน IQ และ EQ
</t>
  </si>
  <si>
    <t xml:space="preserve">ค่าตอบแทนวิทยากร  วันที่ 1 = 6 ชั่วโมงๆ ละ 600 X 1 คน x 4 รุ่น= 14,400  บาท     </t>
  </si>
  <si>
    <t xml:space="preserve">4. เพื่อกระตุ้นและส่งเสริมให้ครอบครัว ชุมชน สังคม ตระหนักถึงความสำคัญของการดูแลเด็กตามช่วงวัยต่างๆ </t>
  </si>
  <si>
    <t>ค่าตอบแทนวิทยากร วันที่ 2 วิทยากรกลุ่ม 4 คน X 6 ชั่วโมงๆ ละ 600 X 1 คน x 4 รุ่น   = 57,600 บาท</t>
  </si>
  <si>
    <t>กิจกรรมที่ 2 ประชุมเชิงปฏิบัติการ เสริมสร้างวินัยเชิงบวกเด็กปฐมวัยด้วยหลักสูตร TRIPLE P  และจัดซื้ออุปกรณ์สาธิตของเล่นส่งเสริมพัฒนาการเด็กปฐมวัย ด้าน IQ และ EQ</t>
  </si>
  <si>
    <t>CFCT /อสม./ผู้นำชุมชน/ครูศูนย์พัฒนาเด็กเล็ก/จนท.สาธารณสุข   จำนวน 2500 คน</t>
  </si>
  <si>
    <t>ค่าอาหารว่างและเครื่องดื่ม (เช้า-บ่าย)  50 บาท x  2,500  คน x 2 วัน   = 250,000    บาท</t>
  </si>
  <si>
    <t xml:space="preserve">กิจกรรมย่อยที่ 2.1  ประชุมเชิงปฏิบัติการ เสริมสร้างวินัยเชิงบวกเด็กปฐมวัยด้วยหลักสูตร TRIPLE P  </t>
  </si>
  <si>
    <t>ค่าอาหารกลางวัน 100 บาท x  2,500 คน x 2 วัน  = 500,000   บาท</t>
  </si>
  <si>
    <t>ค่าตอบแทนวิทยากร 6 ชั่วโมงๆ ละ 600 = 3,600 บาท x 25 รุ่น X 2 วัน =  180,000  บาท</t>
  </si>
  <si>
    <t>กิจกรรมย่อยที่ 2.2 จัดซื้ออุปกรณ์สาธิตของเล่นส่งเสริมพัฒนาการเด็กปฐมวัย ด้าน IQ และ EQ</t>
  </si>
  <si>
    <t>อุปกรณ์สาธิตของเล่นส่งเสริมพัฒนาการเด็กปฐมวัย ด้าน IQ และ EQ   จำนวน350 ชุด</t>
  </si>
  <si>
    <t>อุปกรณ์สาธิตของเล่นส่งเสริมพัฒนาการเด็กปฐมวัย ด้าน IQ และ EQ   ชุดละ 6,000 บาท</t>
  </si>
  <si>
    <t>กิจกรรมที่ 3 ประชุมเชิงปฏิบัติการ สร้างแนวทางการวิเคราะห์ปัญหา แก้ไขปัญหาด้วยระบบ CARE PLAN</t>
  </si>
  <si>
    <t>CFT/อสม./ผู้นำชุมชน/ผอ.กองการศึกษา/จนท.สาธารณสุข/จิตอาสาพัฒนาการเด็ก จำนวน 400 คน</t>
  </si>
  <si>
    <t>ค่าอาหารว่างและเครื่องดื่ม (เช้า-บ่าย) 50 บาท x 400 คน x 1 วัน = 20,000   บาท</t>
  </si>
  <si>
    <t xml:space="preserve">ค่าอาหารกลางวัน 100 บาท x 400 คน x 1 วัน   =  40,000  บาท
</t>
  </si>
  <si>
    <t xml:space="preserve">ค่าตอบแทนวิทยากร 6 ชั่วโมงๆ ละ 600 X 4 คน x 1 วัน x 4  รุ่น   = 57,600 บาท
</t>
  </si>
  <si>
    <t>โครงการแก้ไขปัญหาการตั้งครรภ์ในวัยรุ่น</t>
  </si>
  <si>
    <t>1.ประชุมเชิงปฏิบัติการพัฒนาศัยภาพผู้ปฏบัติงานด้านอนามัยเจริญพันธุ์และการใช้โปรแกรมที่เกี่ยวข้อง</t>
  </si>
  <si>
    <t xml:space="preserve">1.เพื่อพัฒนาศักยภาพผู้รับผิดชอบในระดับอำเภอ
</t>
  </si>
  <si>
    <t>1.เจ้าหน้าที่ผู้รับผิดชอบงานวัยรุ่น รพ.และ สสอ.                            (ในพื้นที่ 25 อำเภอ)</t>
  </si>
  <si>
    <t xml:space="preserve"> - ค่าอาหารว่าง 60   คนx25บาทx2มื้อ                                       </t>
  </si>
  <si>
    <t>ปริตา วรากรโอฬาร</t>
  </si>
  <si>
    <t xml:space="preserve">2.เพื่อให้ผู้รับผิดชอบเข้าใจและสามารถประเมินตนเองผ่านโปรแกรมที่กำหนดได้อย่างถูกต้องและมีประสิทธิภาพ     </t>
  </si>
  <si>
    <t xml:space="preserve">  - ค่าอาหารกลางวัน  60 คน x70บาทx1มื้อ           </t>
  </si>
  <si>
    <t>โครงการส่งเสริมสุขภาวะแม่และเด็ก ตามแนวทางตำบลมหัศจรรย์ 1,000 วัน Plus สู่ 2,500 วัน</t>
  </si>
  <si>
    <t>(PPA) 65 งวด 2</t>
  </si>
  <si>
    <t xml:space="preserve">1.ประชุมผู้รับผิดชอบงานอนามัย แม่และเด็ก </t>
  </si>
  <si>
    <t>เพื่อรับทราบแนวทางในการเตรียมการแก้ไขปัญหาโลหิตจางเด็กปฐมวัยในพื้นที่</t>
  </si>
  <si>
    <t>เจ้าหน้าที่ผู้รับผิดชอบงานระดับอำเภอ และ รพช.จำนวน 50 คน</t>
  </si>
  <si>
    <t xml:space="preserve">ค่าอาหารว่าง 50 คน x 25 บาท x 2 มื้อ  </t>
  </si>
  <si>
    <t>ค่าอาหารกลางวัน 50 คนx 70 บาท x 1 มื้อ</t>
  </si>
  <si>
    <t>ค่าวัสดุ</t>
  </si>
  <si>
    <t>2.ประชุมเชิงปฏิบัติการแก้ไขปัญหาโลหิตจางในเด็กปฐมวัย</t>
  </si>
  <si>
    <t>เพื่อเพิ่มศักยภาพจนท.แก้ไขปัญหาโลหิตจางในเด็กปฐมวัย</t>
  </si>
  <si>
    <t>เจ้าหน้าที่ผู้รับผิดชอบงานเด็กปฐมวัย จำนวน 400 คน โซนละ 100 คน</t>
  </si>
  <si>
    <t xml:space="preserve">ค่าอาหารว่าง 400 คน x 25 บาท x 2 มื้อ  </t>
  </si>
  <si>
    <t>ค่าอาหารกลางวัน 400 คนx 70 บาท x 1 มื้อ</t>
  </si>
  <si>
    <t>ค่าวิทยากร จำนวน 600 บาท x 6 ชั่วโมงx4รุ่น</t>
  </si>
  <si>
    <t xml:space="preserve">3.การอบรมผู้ปกครองในการส่งเสริมสุขภาวะเด็กป้องกันภาวะโลหิตจาง  </t>
  </si>
  <si>
    <t>ส่งเสริมสุขภาพเด็กปฐมวัย ในจังหวัดอุบลราชธานี ให้มีสุขภาพที่ดี ไม่มีภาวะโลหิตจาง เด็กสูงดีสมส่วน</t>
  </si>
  <si>
    <t>ผู้ปกครองเด็กปฐมวัยในจำนวน 25 อำเภอ จำนวน 1500 คน</t>
  </si>
  <si>
    <t xml:space="preserve">ค่าอาหารว่าง 1500 คน x 25 บาท x 2 มื้อ  </t>
  </si>
  <si>
    <t>ค่าอาหารกลางวัน 1500 คน x 70 บาท x 1 มื้อ</t>
  </si>
  <si>
    <t>4.เยี่ยมเสริมพลังงานแม่และเด็ก ประเมินตำบลมหัศจรรย์ 1,000 วัน Plus สู่ 2,500 วัน</t>
  </si>
  <si>
    <t>เยี่ยมเสริมพลังผู้ปฏิบัติงานแม่และเด็ก ในพื้นที่</t>
  </si>
  <si>
    <t xml:space="preserve">ผู้บริหาร,หัวหน้างาน,ผู้รับผิดชอบงาน 2 คน, ภาคีเครือข่ายผู้รับผิดชอบงาน (จนท.ศูนอนามัยที่ 10) 1 คน, ผู้รับผิดชอบงานะดับอำเภอ 1 คน, พขร </t>
  </si>
  <si>
    <t>ค่าเบี้ยเลี้ยง 7คน x120 บาทx25 วัน</t>
  </si>
  <si>
    <t>ออกประเมินการดำเนินงาน ตำบลมหัศจรรย์ 1,000 วัน Plus สู่ 2,500 วัน</t>
  </si>
  <si>
    <t>ค่าน้ำมันเชื้อเพิง</t>
  </si>
  <si>
    <t>5.ประชุมสรุปผลงาน ถอดบทเรียนโครงการส่งเสริมสุขภาวะแม่และเด็ก ตามแนวทางตำบลมหัศจรรย์ 1,000 วัน Plus สู่ 2,500 วัน</t>
  </si>
  <si>
    <t>ถอดบทเรียน แลกเปลี่ยนเรียนรู้ แจ้งผลการประเมินตำบลที่ผ่านเกณฑ์ การดำเนินงานตำบลมหัศจรรย์ 1,000 วัน Plus สู่ 2,500 วัน และมอบโล่เชิดชูเกียรติให้กับตำบลที่ผ่านเกณฑ์</t>
  </si>
  <si>
    <t>เจ้าหน้าที่ผู้รับผิดชอบงานระดับอำเภอ และ รพช. (คลินิกฝากครรภ์, ห้องคลอด, หลังคลอด, คลินิกสุขภาพเด็กดี) ตัวแทน อปท. ผู้นำชุมชน</t>
  </si>
  <si>
    <t>ค่าอาหารว่าง100 คน x 25 บาท x 2 มื้อ</t>
  </si>
  <si>
    <t>ค่าอาหารกลางวัน 100 คน x 70 บาท x 1 มื้อ</t>
  </si>
  <si>
    <t xml:space="preserve">ค่าวิทยากรบรรยาย/วิทยากรกระบวนการกลุ่ม  3 ชั่วโมง x ชั่วโมงละ 600 บาท </t>
  </si>
  <si>
    <t xml:space="preserve">ค่าวัสดุ </t>
  </si>
  <si>
    <t xml:space="preserve">1.โรงเรียนในเขตจังหวัดอุบลราชธานีจำนวน 10 โรงเรียนที่ผ่านการประเมินเป็นระดับทองยั่งยืน  </t>
  </si>
  <si>
    <t xml:space="preserve">   ค่าเบี้ยเลี้ยง วันละ 120 บาท×5คน×10วัน</t>
  </si>
  <si>
    <t xml:space="preserve">นางยุพีพร มีแก้ว      </t>
  </si>
  <si>
    <t>งบ สป.</t>
  </si>
  <si>
    <t xml:space="preserve">  2.เป็นกระบวนการประเมินโรงเรียนส่งเสริมสุขภาพระคับเพชรจังหวัดแล้วคัดเลือกส่งต่อระดับเพชรเขต/กรม/กระทรวงต่อไปในปีงบประมาณ 2566    </t>
  </si>
  <si>
    <t>2.โรงเรียนรอบรู้ด้านสุขภาพ นำร่องประเมิน 10โรงเรียน</t>
  </si>
  <si>
    <t xml:space="preserve">3.เพื่อพัฒนาสุขภาพ การดำรงชีวิต การเจริญเติบโตพัฒนาการทางด้านร่างกาย สติปัญญาและจิตใจแข็งแรง เด็กไทย เก่ง ดี มีสุข       </t>
  </si>
  <si>
    <t xml:space="preserve">4. เพื่อให้เกิดโรงเรียนรอบรู้ด้านสุขภาพตามนโยบายใหม่ของกระทรวงสาธารณสุข ปีงบประมาณ 2566   </t>
  </si>
  <si>
    <t>โครงการออกดำเนินการชี้แจงการลงทะเบียน Application ก้าวท้าใจ(โปรแกรมคัดกรองข้อมูลสุขภาพ)โครงการ 10 ล้านครอบครัวไทยออกกำลังกายเพื่อสุขภาพ</t>
  </si>
  <si>
    <t>ออกดำเนินการชี้แจงการลงทะเบียน Application ก้าวท้าใจ(โปรแกรมคัดกรองข้อมูลสุขภาพ)โครงการ 10 ล้านครอบครัวไทยออกกำลังกายเพื่อสุขภาพ</t>
  </si>
  <si>
    <t xml:space="preserve">1.เพื่อทำความเข้าใจกับเจ้าหน้าที่สาธารณสุขทุกอำเภอในจังหวัดอุบลราชธานี                  </t>
  </si>
  <si>
    <t>1.เจ้าหน้าที่สาธารณสุขผู้รับผิดชอบงานวัยทำงานและเจ้าหน้าที่คอมพิวเตอร์ทุกอำเภอของจังหวัดอุบลราชธานี</t>
  </si>
  <si>
    <t>2.เพื่อดำเนินงานขับเคลื่อนโครงการ 10 ล้านครอบครัวไทยออกกำลังกายเพื่อสุขภาพ</t>
  </si>
  <si>
    <t>2.จัดประชุมเจ้าหน้าที่สาธารณสุขในอำเภอละ 30 คน(ทั้ง สสอ.และ รพ.)อำเภอละ 1 วัน</t>
  </si>
  <si>
    <t>3.เพื่อดำเนินงานโดย Application ก้าวท้าใจ(โปรแกรมคัดกรองข้อมูลสุขภาพ)ใช้Application 10 package(โปรแกรมคัดกรองข้อมูลสุขภาพ)ในการดำเนินงาน</t>
  </si>
  <si>
    <t>โครงการพัฒนางานส่งเสริมสุขภาพตามกลุ่มวัย</t>
  </si>
  <si>
    <t>เจ้าหน้าที่สาธารณสุข จำนวน 60 คน ออนไลน์ 3 ครั้ง  onsite 3 ครั้ง รวม 6 ครั้ง</t>
  </si>
  <si>
    <t xml:space="preserve">
- ค่าอาหารกลางวันจำนวน 60 คน x 70 บาท x 1 มื้อ x 3 ครั้ง    
  </t>
  </si>
  <si>
    <t xml:space="preserve">
นายสิทธิศักดิ์ เผ่าพันธ์ </t>
  </si>
  <si>
    <t xml:space="preserve">  - ค่าอาหารว่างและเครื่องดื่มจำนวน 60 คน x 25 บาท x 2 มื้อ x 3 ครั้ง   </t>
  </si>
  <si>
    <t>โครงการพัฒนางานผู้สูงอายุ จังหวัดอุบลราชธานี</t>
  </si>
  <si>
    <t>1.เพื่อพัฒนาคลินิกผู้สูงอายุให้มีคุณภาพ     2.เพื่อพัฒนาให้ชมรม/โรงเรียนผู้สูงอายุสามารถดูแลตนเอง  สามารถดำเนิน  ชีวิตประจำวันได้อย่างเหมาะสม และ มีพฤติกรรมสุขภาพที่เหมาะสมตามศักยภาพ   3.เพื่อพัฒนาวัดให้เป็นวัดส่งเสริมสุขภาพตามมาตรฐาน</t>
  </si>
  <si>
    <t>82:8482:85</t>
  </si>
  <si>
    <t xml:space="preserve">
2.1 ประชุมคณะกรรมการสาขาสมาคมสภาผู้สูงอายุแห่งประเทศไทย สาขาจังหวัดอุบลราชธานี</t>
  </si>
  <si>
    <t xml:space="preserve">
ประธานและเลขาคณะกรรมการสาขาสมาคม รวม 80 คน จำนวน 2 ครั้ง ๆ ละ 1 วัน รวม 2 วัน
</t>
  </si>
  <si>
    <t xml:space="preserve">
- ค่าอาหารว่างและเครื่องดื่มจำนวน 60 คน x 25 บาท x 1 มื้อ x 2 ครั้ง  
  </t>
  </si>
  <si>
    <t xml:space="preserve">2.2  ประชุมเชิงปฏิบัติการ การพัฒนาคุณภาพชีวิตผู้สูงอายุเนื่องในวันผู้สูงอายุแห่งชาติ ประจำปี 2566
</t>
  </si>
  <si>
    <t>ผู้สูงอายุ/ข้าราชการข้าราชการบำนาญบุคลากรสาธารณสุขระดับจังหวัดและอำเภอรวม 200 คน</t>
  </si>
  <si>
    <t xml:space="preserve">
- ค่าอาหารกลางวันจำนวน 200 คน    x 70 บาท x 1 วัน    
  </t>
  </si>
  <si>
    <t xml:space="preserve">- ค่าอาหารว่างและเครื่องดื่มจำนวน 200 คน x 25 บาท x 2 มื้อ   </t>
  </si>
  <si>
    <t>- ค่าวัสดุ 200 คน x 50 บาท</t>
  </si>
  <si>
    <t xml:space="preserve">
โครงการเฝ้าระวังดูแลผู้สูงอายุที่มีภาวะสมองเสื่อมและพลัดตกหกล้ม แบบครบวงจร และพัฒนาคลินิกผู้สูงอายุคุณภาพจังหวัดอุบลราชธานี</t>
  </si>
  <si>
    <t xml:space="preserve">
1.เพื่อประเมินคัดกรอง เฝ้าระวังผู้สูงอายุ ด้านภาวะสมองเสื่อมและพลัดตกหกล้ม
2.เพื่อส่งเสริม ป้องกัน และดูแลส่งต่อผู้สูงอายุที่มีภาวะสมองเสื่อมและพลัดตกหกล้ม                 3.เพื่อพัฒนาคลินิกผู้สูงอายุให้มีคุณภาพ</t>
  </si>
  <si>
    <t xml:space="preserve">
นายสิทธิศักดิ์ เผ่าพันธ์  </t>
  </si>
  <si>
    <t xml:space="preserve">
PPA 2565
(งวดที่ 2)
</t>
  </si>
  <si>
    <t>3.1 ประชุมเชิงปฏิบัติการการใช้เครื่องมือคัดกรองภาวะสมองเสื่อม และป้องกันภาวะพลัดตกหกล้ม</t>
  </si>
  <si>
    <t>เจ้าหน้าที่สาธารณสุข จำนวน 4 รุ่นๆ ละ 60 คน จำนวน 1 วัน</t>
  </si>
  <si>
    <t xml:space="preserve">
/</t>
  </si>
  <si>
    <t xml:space="preserve"> - ค่าอาหารว่างและเครื่องดื่มจำนวน 60 คน x 2 มื้อ x 25 บาท x 4 รุ่น  </t>
  </si>
  <si>
    <t xml:space="preserve">
 3.2 อบรมเชิงปฏิบัติการพัฒนาหมู่บ้านจัดการสิ่งแวดล้อมเพื่อป้องกันการพลัดตกหกล้มในผู้สูงอายุ (ฒ.ผู้เฒ่าไม่ล้ม) 
</t>
  </si>
  <si>
    <t xml:space="preserve">
เจ้าหน้าที่ที่รับผิดชอบงาน ผู้นำชุมชน จำนวน 4 รุ่น ๆ ละ 50คน 
หลักสูตร 1 วัน </t>
  </si>
  <si>
    <t xml:space="preserve">
 - ค่าอาหารกลางวันจำนวน 1 มื้อ x   40 คน x 70 บาท x 4 รุ่น     
  </t>
  </si>
  <si>
    <t xml:space="preserve"> - ค่าอาหารว่างและเครื่องดื่มจำนวน 40 คน x 2 มื้อ x 25 บาท x 4 รุ่น  </t>
  </si>
  <si>
    <t xml:space="preserve"> - ค่าตอบแทนวิทยากร จำนวน 2 คน X 600 บาท x 3 ชั่วโมง x 4 รุ่น</t>
  </si>
  <si>
    <t xml:space="preserve">
3.3 อบรมความรอบรู้ด้านสุขภาพเพื่อนำไปสู่การปรับเปลี่ยนพฤติกรรมที่พึงประสงค์ (Individual wellness Plan)</t>
  </si>
  <si>
    <t xml:space="preserve">
เจ้าหน้าที่ที่รับผิดชอบงานและเครือข่ายผู้สูงอายุ จำนวน 3 รุ่นๆ ละ 40 คน
หลักสูตร 1 วัน</t>
  </si>
  <si>
    <t xml:space="preserve">
 - ค่าอาหารกลางวันจำนวน 1 มื้อ x   40 คน x 70 บาท x 3 รุ่น     
  </t>
  </si>
  <si>
    <t xml:space="preserve"> - ค่าอาหารว่างและเครื่องดื่มจำนวน 40 คน x 2 มื้อ x 25 บาท x 3 รุ่น  </t>
  </si>
  <si>
    <t xml:space="preserve">- ค่าตอบแทนวิทยากร จำนวน 2 คน X 600 บาท x 3 ชั่วโมง x 3 รุ่น </t>
  </si>
  <si>
    <t>3.4 ประชุมการพัฒนาคลินิกผู้สูงอายุให้เป็นโรงพยาบาลผู้สูงอายุ</t>
  </si>
  <si>
    <t>เจ้าหน้าที่สาธารณสุข จำนวน 50 คน จำนวน 4 วัน</t>
  </si>
  <si>
    <t xml:space="preserve"> - ค่าอาหารว่างและเครื่องดื่มจำนวน 50 คน x 25 บาท x 2 มื้อ x 4 ครั้ง </t>
  </si>
  <si>
    <t xml:space="preserve">
3.5 คัดกรองสุขภาพผู้สูงอายุทุกด้าน 
</t>
  </si>
  <si>
    <t xml:space="preserve">
ผู้สูงอายุกลุ่มติดสังคม </t>
  </si>
  <si>
    <t>ไม่ใช่งบประมาณ</t>
  </si>
  <si>
    <t xml:space="preserve">
3.6 ประเมินและเยี่ยมเสริมพลังวัดส่งเสริมสุขภาพ, ชมรมผู้สูงอายุคุณภาพ, หมู่บ้าน ฒ.ไม่ล้ม, คลินิกผู้สูงอายุคุณภาพ
</t>
  </si>
  <si>
    <t xml:space="preserve">                              25 อำเภอ</t>
  </si>
  <si>
    <t xml:space="preserve">
- ค่าเบี้ยเลี้ยง  6 คน x 120 บาท x 25 วัน     
</t>
  </si>
  <si>
    <t xml:space="preserve">3.7  สรุปผลการดำเนินงาน 
</t>
  </si>
  <si>
    <t xml:space="preserve">
เจ้าหน้าที่ที่รับผิดชอบงานและเครือข่ายผู้สูงอายุ จำนวน 50 คน
หลักสูตร 1 วัน</t>
  </si>
  <si>
    <t xml:space="preserve">
- ค่าอาหารกลางวันจำนวน 50 คน x 70 บาท x 1 วัน    
</t>
  </si>
  <si>
    <t xml:space="preserve"> - ค่าอาหารว่างและเครื่องดื่มจำนวน 50 คน x 25 บาท x 2 มื้อ </t>
  </si>
  <si>
    <t xml:space="preserve"> - ค่าวัสดุ</t>
  </si>
  <si>
    <t xml:space="preserve"> -เพื่อพัฒนาศักยภาพของทีมผู้ประเมินเวชระเบียนทางการแพทย์ทุกระดับ</t>
  </si>
  <si>
    <t>แพทย์ 1 คน/แห่งพยาบาลทีม 2 คน/แห่ง  เวชสถิติ  1 คน/แห่ง  จำนวน  100  คน</t>
  </si>
  <si>
    <t>⁄</t>
  </si>
  <si>
    <t>1.ค่าตอบแทนวิทยากร               600 บาท*3 ชม.*2 คน</t>
  </si>
  <si>
    <t>ร.อ.หญิงนาฏวดี</t>
  </si>
  <si>
    <t>สสจ.อบ.</t>
  </si>
  <si>
    <t xml:space="preserve"> -เพื่อเพิ่มประสิทธิภาพของศูนย์จัดเก็บรายได้ของหน่วยบริการทุกแห่ง</t>
  </si>
  <si>
    <t xml:space="preserve">2.ค่าอาหารว่างและเครื่องดื่ม       50 บาท*100 คน            </t>
  </si>
  <si>
    <t xml:space="preserve"> -เพื่อทบทวนความรู้ในการสรุปเวชระเบียน การให้รหัสโรค/หัตถการเวชระเบียนผู้ป่วยใน</t>
  </si>
  <si>
    <t xml:space="preserve">3.ค่าอาหารกลางวัน                   70 บาท*100 คน   </t>
  </si>
  <si>
    <t xml:space="preserve">2. ประชุมเชิงปฏิบัติการการพัฒนาศูนย์จัดเก็บรายได้ของหน่วยบริการทุกสิทธิ เกี่ยวกับงาน Claim (ดำเนินการต่อเนื่องจากปี 2565)
</t>
  </si>
  <si>
    <t xml:space="preserve"> -เพื่อให้หน่วยบริการสามารถวางแผนจัดระบบบริหารจัดการงานการจัดเก็บรายได้ของศูนย์รายได้ ให้มีประสิทธิภาพ         </t>
  </si>
  <si>
    <t xml:space="preserve"> -ผู้รับผิดชอบงานประกันสุขภาพของหน่วยบริการทุกแห่งทั้งโรงพยาบาลส่งเสริมสุขภาพตำบล  โรงพยาบาลทั่วไปและโรงพยาบาลชุมชนทุกแห่ง </t>
  </si>
  <si>
    <t>ใช้งบรวมกับกองทุนแรงงานต่างด้าวและผู้มีปัญหาสถานะและสิทธิ</t>
  </si>
  <si>
    <t xml:space="preserve"> -เพื่อให้หน่วยบริการสามารถวิเคราะห์ข้อมูลด้านการเงินการคลัง และเฝ้าระวังสถานการณ์ด้านการเงินการคลังของเครือข่ายหน่วยบริการโดยการมีส่วนร่วมของสหสาขาวิชาชีพ</t>
  </si>
  <si>
    <t xml:space="preserve"> -เพื่อเพิ่มพูนทักษะให้กับเจ้าหน้าที่งาน Claim ให้สามารถlส่งข้อมูลผ่านโปรแกรม E-Claim ถูกต้อง</t>
  </si>
  <si>
    <t xml:space="preserve"> -ผู้รับผิดชอบงาน Claim ทุกกองทุน จำนวน 100 คน</t>
  </si>
  <si>
    <t>1.ค่าตอบแทนวิทยากร               600 บาท*3 ชม.*3 คน</t>
  </si>
  <si>
    <t xml:space="preserve"> -เพื่อก่อให้เกิดกระบวนการเรียนรู้และทักษะใหม่ในการ Claim </t>
  </si>
  <si>
    <t xml:space="preserve"> -เพื่อให้ทุกหน่วยบริการสามารถดำเนินการเบิกทุกกองทุนได้อย่างถูกต้องและครบถ้วนทุกกองทุน  </t>
  </si>
  <si>
    <t>ทีม Auditor ระดับจังหวัด       ทีม Auditor หน่วยบริการและบุคลากรสหสาขาวิชาชีพ</t>
  </si>
  <si>
    <t xml:space="preserve"> -เบี้ยเลี้ยงออกนิเทศงาน  8 คน *120 บาท*8 แห่ง*8 วัน</t>
  </si>
  <si>
    <t xml:space="preserve">ทีมงานประกันสุขภาพ 4 คน  </t>
  </si>
  <si>
    <t xml:space="preserve"> -เบี้ยเลี้ยงออกนิเทศงาน  4 คน *120 บาท*25 แห่ง</t>
  </si>
  <si>
    <t xml:space="preserve"> -เพื่อประเมินการดำเนินงานศูนย์จัดเก็บรายได้หน่วยบริการในเขตตรวจราชการที่ 10 </t>
  </si>
  <si>
    <t>ทีมงานประกันสุขภาพจำนวน  4  คน</t>
  </si>
  <si>
    <t xml:space="preserve"> -เบี้ยเลี้ยงออกนิเทศงาน 4 คน*120 บาท*8 วัน</t>
  </si>
  <si>
    <t>7. ค่าโทรศัพท์และอินเตอร์เน็ตรายเดือน</t>
  </si>
  <si>
    <t xml:space="preserve"> -เพื่อใช้ติดต่อสือสารและติดตามงานกับพื้นที่</t>
  </si>
  <si>
    <t>ทีมงานประกันทุกท่าน</t>
  </si>
  <si>
    <t>ใช้งบสาธารณูปโภค</t>
  </si>
  <si>
    <t>8. วิเคราะห์ข้อมูลงานจัดเก็บรายได้ทุกสิทธิ ทุกเดือน</t>
  </si>
  <si>
    <t xml:space="preserve"> -เพื่อติดตามและวิเคราะห์สถานการณ์ของศูนย์จัดเก็บรายได้ทุกหน่วยบริการ</t>
  </si>
  <si>
    <t>ทีมศูนย์จัดเก็บรายได้ทุกหน่วยบริการ</t>
  </si>
  <si>
    <t xml:space="preserve"> -เพื่อให้คำแนะนำและกระตุ้นให้ศูนย์จัดเก็บรายได้ดำเนินการเบิกจ่ายในทุกกองทุนของหน่วยบริการ</t>
  </si>
  <si>
    <t xml:space="preserve">9.  กำกับ ติดตามการส่งข้อมูลการให้บริการผู้ป่วยในรายเดือน ทางเวบไซต์กองบริหารการสาธารณสุข(กบรส) </t>
  </si>
  <si>
    <t xml:space="preserve"> -เพื่อให้หน่วยบริการส่งรายงานให้ทันเวลาตามที่กระทรวงกำหนด</t>
  </si>
  <si>
    <t>ศูนย์จัดเก็บรายได้ทุกหน่วยบริการ(รพ)</t>
  </si>
  <si>
    <t xml:space="preserve"> -เพื่อให้หน่วยบริการได้รับการจัดสรรงบประมาณตามคุณภาพการดำเนินงาน</t>
  </si>
  <si>
    <t>โครงการพัฒนาระบบการเรียกเก็บ กรณี พรบ.คุ้มครองผู้ประสบภัยจากรถ และกลุ่มสิทธิประกันสังคม</t>
  </si>
  <si>
    <t xml:space="preserve">1.ประชุมเชิงปฏิบัติการ การพัฒนาประสิทธิภาพการดำเนินงาน พรบ.คุ้มครองผู้ประสบภัยจากรถ และสิทธิประกันสังคม  ปีงบประมาณ 2566
</t>
  </si>
  <si>
    <t xml:space="preserve"> -เพื่อสร้างระบบการดำเนินงาน/การส่งต่อข้อมูล และการเบิกจ่ายกรณีผู้ประสบภัยจากรถ</t>
  </si>
  <si>
    <t xml:space="preserve"> -ผู้รับผิดชอบงาน Claim พรบ.คุ้มครองผู้ประสบภัยจากรถ จำนวน 2 คน ผู้รับผิดชองงาน Claim สิทธิประกันสังคม 2 คน ใน รพ.ทุกแห่ง  รวมทั้งหมด 100 คน</t>
  </si>
  <si>
    <t xml:space="preserve">ใช้งบกองทุนประกันสังคม (งบบริหารจัดการ 5 %)
</t>
  </si>
  <si>
    <t xml:space="preserve"> -เพื่อเชื่อมโยงข้อมูลจาก รพ.ต้นทาง และ รพ.ปลายทางได้อย่างเป็นระบบและเป็นรูปธรรม</t>
  </si>
  <si>
    <t>1.การบริหารจัดการการเงินการคลังหน่วยบริการ จ.อุบลราชธานี ปี 2566</t>
  </si>
  <si>
    <t>1.การพัฒนาศักยภาพ CFO ระดับอำเภอ</t>
  </si>
  <si>
    <t>เพื่อให้การเฝ้าระวังสถานการณ์การเงินการคลังมีประสิทธิภาพ</t>
  </si>
  <si>
    <t>ทีม CFO จังหวัดและอำเภอๆละ10คน</t>
  </si>
  <si>
    <t xml:space="preserve"> /</t>
  </si>
  <si>
    <t xml:space="preserve">1.ค่าอาหารว่าง
และเครื่องดื่ม 
50บ.x 270คน      </t>
  </si>
  <si>
    <t>น.ส.ประภัสสร</t>
  </si>
  <si>
    <t>สสจ.อุบล</t>
  </si>
  <si>
    <t xml:space="preserve">2.ค่าอาหารกลางวัน
70บ.x 270คน                        </t>
  </si>
  <si>
    <t>2.ประชุมชี้แจงการปรับแผนการเงินการคลัง ปี2566  รอบ 6เดือน</t>
  </si>
  <si>
    <t>เพื่อให้CUP ปรับแผนฯรอบ 6 เดือน</t>
  </si>
  <si>
    <t>ทีม CFO จังหวัดและอำเภอ</t>
  </si>
  <si>
    <t>ประชุมผ่าน web</t>
  </si>
  <si>
    <t>3.ประชุมทีม CFO จังหวัด เดือนละ 1 ครั้ง</t>
  </si>
  <si>
    <t>เพื่อวิเคราะห์สถานการณ์การเงินการคลัง และสรุปข้อมูลเสนอ กวป.</t>
  </si>
  <si>
    <t>ทีม CFO จังหวัด</t>
  </si>
  <si>
    <t>ไม่ใช้งบฯ</t>
  </si>
  <si>
    <t>4.ประชุมนำเสนอแผนการเงินการคลัง ปี2567</t>
  </si>
  <si>
    <t>เพื่อให้จังหวัดพิจารณาอนุมัติแผนฯ</t>
  </si>
  <si>
    <t>แผนการพัฒนาระบบลงทะเบียน / งานกองทุนหลักประกันสุขภาพต่างด้าว</t>
  </si>
  <si>
    <t xml:space="preserve">1. เพื่อให้หน่วยบริการสามารถวางแผนจัดระบบบริหารจัดการในการดำเนินงานการจัดเก็บรายได้ของศูนย์รายได้ กระบวนการการจัดทำ ตรวจสอบ รับ-ส่งข้อมูลเพื่อขอรับค่าใช้จ่ายบริการสาธารณสุขให้มีประสิทธิภาพ         
</t>
  </si>
  <si>
    <t>ผู้รับผิดชอบงานเบิกจ่ายค่าบริการทางการแพทย์ในหน่วยบริการทุกแห่งทั้งโรงพยาบาลส่งเสริมสุขภาพตำบล  โรงพยาบาลทั่วไปและโรงพยาบาลชุมชนทุกแห่ง สังกัดสำนักงานปลัดกระทรวงสาธารณสุข จำนวน 575 คน</t>
  </si>
  <si>
    <t xml:space="preserve">1. ค่าอาหารว่างและเครื่องดื่มอัตรา  25 บาท/คน/มื้อ/ครั้ง จำนวน 115 คน x 50 บาท x 5 ครั้ง  
</t>
  </si>
  <si>
    <t>ณัฏฐ์ชานันท์ กมลฤกษ์</t>
  </si>
  <si>
    <t>งบกองทุนต่างด้าวและบุคคลที่มีปัญหาสถานะและสิทธิ</t>
  </si>
  <si>
    <t>จัดประชุมที รพ แม่โซน 4 โซน และที่ สสจใอบ</t>
  </si>
  <si>
    <t>2. เพื่อให้หน่วยบริการสามารถจัดระบบในการวิเคราะห์ข้อมูลด้านการเงินการคลัง และเฝ้าระวังสถานการณ์ด้านการเงินการคลังของเครือข่ายหน่วยบริการโดยการมีส่วนร่วมของสหสาขาวิชาชีพ</t>
  </si>
  <si>
    <t xml:space="preserve">2. ค่าอาหารกลางวัน  70 บาท/คน/มื้อ/ครั้ง   จำนวน 115 คน x 70 บาท x 5 ครั้ง </t>
  </si>
  <si>
    <t>3. เพื่อเพิ่มพูนทักษะให้กับเจ้าหน้าที่งานเบิกจ่ายชดเชย ให้สามารถใช้โปรแกรมเบิกจ่ายชดเชยได้อย่างมีประสิทธิภาพ</t>
  </si>
  <si>
    <t xml:space="preserve">3. ค่าตอบแทนวิทยากร  600  บาท/ชั่วโมง/ครั้ง  จำนวน 5 คน x 5 x 5 ครั้ง </t>
  </si>
  <si>
    <t xml:space="preserve">4. ค่าวัสดุในการจัดอบรม   </t>
  </si>
  <si>
    <t>5.ค่าห้องประชุมวันละ  5,000 บาท x 3 วัน</t>
  </si>
  <si>
    <t>2. การพัฒนางานวิจัยจากงานประจำ</t>
  </si>
  <si>
    <t>เพื่อพัฒนาแนวทางการดำเนินงานบริหารจัดการงานภายใต้กรอบภารกิจกลุ่มงานให้มีประสิทธิภาพ</t>
  </si>
  <si>
    <t xml:space="preserve">การวิจัยในกลุ่มภารกิจงานประกันสุขภาพ ตีพิมพ์ระดับชาติและนานาชาติ   </t>
  </si>
  <si>
    <t>1.ค่าตีพิมพ์เพื่อเผยแพร่วารสาร จำนวน 3 ฉบับ ฉบับละ 6,000 บาท</t>
  </si>
  <si>
    <t>2. บุคลากรด้านสุขภาพ ในสังกัด สป.สธ. จังหวัดอุบลราชธานี</t>
  </si>
  <si>
    <t>2.วัสดุอุปกรณ์ (เอกสารเครื่องมือวิจัย)</t>
  </si>
  <si>
    <t>งานกองทุนสุขภาพระดับพื้นที่</t>
  </si>
  <si>
    <t>โครงการติดตามและประเมินผลการบริหารจัดการกองทุนหลักประกันสุขภาพ (พื้นที่ที่มีงบประมาณคงเหลือเกินเกณฑ์ 2564)</t>
  </si>
  <si>
    <t>1. เพื่อกำกับติดตามการใช้งบประมาณกองทุนหลักประกันสุขภาพระดับพื้นที่</t>
  </si>
  <si>
    <t>หน่วยบริการที่มีงบประมาณคงเหลือเกินเกณฑ์ 2565 ทุกแห่ง</t>
  </si>
  <si>
    <t>1. ค่าเบี้ยเลี้ยงเจ้าหน้าที่ 3 คน (พื้นที่ละ 2 ครั้ง)</t>
  </si>
  <si>
    <t>งบประมาณสนับสนุนจาก สปสช.10</t>
  </si>
  <si>
    <t>2. เพื่อประเมินการบริหารจัดการกองทุนหลักประกันสุขภาพพื้นที่</t>
  </si>
  <si>
    <t xml:space="preserve">การบริหารจัดการด้านการเงินการคลังสุขภาพ </t>
  </si>
  <si>
    <t>โครงการพัฒนาระบบการให้บริการผู้ป่วยภายในจังหวัดอุบลราชธานี (นค.1)</t>
  </si>
  <si>
    <t>1. โครงการประชุมนักวิชาการสาธารณสุขงานประกันสุขภาพจังหวัดอุบลราชธานี</t>
  </si>
  <si>
    <t>เพื่อให้ผู้รับผิดชอบงานประกันสุขภาพมีความรู้และความเข้าใจเกี่ยวกับแนวทางการดำเนินงาน</t>
  </si>
  <si>
    <t>ผู้รับผิดชอบงานประกันสุขภาพ รพศ/รพท/รพช/สสอ.และเจ้าหน้าที่ สสจ.อบ.</t>
  </si>
  <si>
    <t xml:space="preserve"> - ค่าอาหารกลางวัน   = 50 คน x 70 บาท x 2 ครั้ง</t>
  </si>
  <si>
    <t>นส.วชิรา เจริญศรี</t>
  </si>
  <si>
    <t>ติดตามการดำเนินงาน</t>
  </si>
  <si>
    <t xml:space="preserve"> - ค่าอาหารว่าง  = 50 คน x 50 บาท x 2 ครั้ง</t>
  </si>
  <si>
    <t>ใช้เป็นหลักเกณฑ์การตามจ่ายภายในจังหวัดอุบลราชธานี</t>
  </si>
  <si>
    <t>ผอรพศ/รพท/รพช/สสอ./ศูนย์วิชาการ/รพ.เอกชน/รพ.นอกสังกัด/จนท.กลุ่มงานประกัน</t>
  </si>
  <si>
    <t xml:space="preserve"> - ค่าอาหารว่าง= 25 คน x 25 บาท x 2 ครั้ง </t>
  </si>
  <si>
    <t>เพื่อให้คณะอนุกรรมการพิจารณาคำร้องขอรับเงินช่วยเหลือเบื้องต้นกรณีผู้รับบริการได้รับความเสียหายจากการรักษาพยาบาลของหน่วยบริการ</t>
  </si>
  <si>
    <t>ผู้รับบริการที่ได้รับความเสียหายจากการรักษาพยาบาลของหน่วยบริการ</t>
  </si>
  <si>
    <t>ออกตรวจสอบข้อเท็จจริงในพื้นที่ - ค่าเบี้ยเลี้ยงเจ้าหน้าที่ = 3 คน x 120 บาท x 24 ครั้ง</t>
  </si>
  <si>
    <t>นางสาวยุพาวดี เคนสิน</t>
  </si>
  <si>
    <t>สสจ อบ</t>
  </si>
  <si>
    <t>โครงการประชุมเชิงปฏิบัติการการพัฒนาประสิทธิภาพการจัดเก็บรายได้สิทธิประกันสังคมและสิทธิอื่น  จังหวัดอุบลราชธานี  ปีงบประมาณ 2566</t>
  </si>
  <si>
    <t>1. เพื่อพัฒนาศูนย์จัดเก็บรายได้ของหน่วยบริการให้มีคุณภาพตามเกณฑ์ 4S4C ของกองทุนประกันสังคมและกองทุนอื่น</t>
  </si>
  <si>
    <t>1. ผู้บริหารและคณะกรรมการ CFO ระดับจังหวัด</t>
  </si>
  <si>
    <t xml:space="preserve">1.ค่าอาหารว่างและเครื่องดื่มอัตรา  50 บาท/คน/มื้อ   จำนวน   100   คน  (50x100x5) (วันที่ 2 และวันที่ 4)   </t>
  </si>
  <si>
    <t>นางพัชราภรณ์  ศิริคุณ</t>
  </si>
  <si>
    <t>กองทุนประกันสังคม</t>
  </si>
  <si>
    <t>2. เพื่อพัฒนาระบบเฝ้าระวังทางการเงินการคลังของหน่วยบริการ</t>
  </si>
  <si>
    <t>2. โรงพยาบาลทุกแห่งๆละ 2 คน (ผู้รับผิดชอบงานจัดเก็บรายได้ และ ผู้รับผิดชอบงานการเงินการคลัง)</t>
  </si>
  <si>
    <t xml:space="preserve">2.ค่าอาหารครบมื้อ 800 บาท/คน จำนวน 100 คน (800x100) (วันที่ 2)        </t>
  </si>
  <si>
    <t>3. เพื่อพัฒนารูปแบบการบันทึกข้อมูลรายได้ทางบัญชีของกองทุนประกันสังคมและกองทุนที่เกี่ยวข้องให้มีความถูกต้อง ครบถ้วน</t>
  </si>
  <si>
    <t xml:space="preserve">3. สำนักงานสาธารณสุขอำเภอทุกแห่งๆละ 1 คน (ผู้รับผิดชอบงานจัดเก็บรายได้ หรือ ผู้รับผิดชอบงาน  การเงินการคลัง) </t>
  </si>
  <si>
    <t xml:space="preserve">3.ค่าอาหารไม่ครบมื้อ 700 บาท/คน จำนวน 100 คน จำนวน 2 วัน (700x100x2) (วันที่ 3 และวันที่ 4) </t>
  </si>
  <si>
    <t>4. ผู้จัดการประชุม</t>
  </si>
  <si>
    <t xml:space="preserve">4.ค่าที่พัก 50 ห้อง ห้องละ 1,500 บาท 2 วัน  (50x1,500x2) </t>
  </si>
  <si>
    <t xml:space="preserve">5.ค่าจ้างเหมารถบัส 2 คัน วันละ 15,000 บาท/วัน  จำนวน  4  วัน (15,000x2x4)    </t>
  </si>
  <si>
    <t>6.ค่าน้ำมันเชื้อเพลิงรถตู้ ระยะทาง 750 กม.ไป กลับ กม.ละ 4 บาท(750x2x4)</t>
  </si>
  <si>
    <t xml:space="preserve">7.ค่าวิทยากรบรรยายและวิทยากรกลุ่ม 4 คน ชั่วโมงละ  600 บาท </t>
  </si>
  <si>
    <t xml:space="preserve">8.ค่าเดินทางวิทยากรจากส่วนกลาง  2 ท่าน                                     </t>
  </si>
  <si>
    <t xml:space="preserve">9.ค่าเบี้ยเลี้ยงผู้เข้าร่วมประชุม 100  คน คนละ  480  บาท               </t>
  </si>
  <si>
    <t xml:space="preserve">   วันที่ 23 พย 65 เบิกเบี้ยเลี้ยงคนละ 240 บาท</t>
  </si>
  <si>
    <t xml:space="preserve">   วันที่ 24 พย 65 ไม่เบิกเบี้ยเลี้ยง</t>
  </si>
  <si>
    <t xml:space="preserve">   วันที่ 25 พย.65 เบิกเบี้ยเลี้ยงคนละ 80 บาท</t>
  </si>
  <si>
    <t xml:space="preserve">   วันที่ 26 พย.65 เบิกเบี้ยเลี้ยงคนละ 160 บาท</t>
  </si>
  <si>
    <t>รวมเบิกเบี้ยเลี้ยงคนละ 480 บาท</t>
  </si>
  <si>
    <t>รวมยอดเงินทั้งหมด</t>
  </si>
  <si>
    <t xml:space="preserve">โครงการประชุมเครือข่ายสุขภาพจิตและจิตเวช ระดับอำเภอ  </t>
  </si>
  <si>
    <t>อุบลรัตน์</t>
  </si>
  <si>
    <t>ใช้ PPA65</t>
  </si>
  <si>
    <t xml:space="preserve">การประชุมเครือข่ายสุขภาพจิตและจิตเวช ระดับอำเภอ  </t>
  </si>
  <si>
    <t>1.เพื่อพัฒนาคุณภาพระบบบริการสุขภาพจิตและจิตเวชทั่วไป  เพื่อเพิ่มการเข้าถึงบริการโรคจิตเวชที่สำคัญ 
2.ป้องกันปัญหาการฆ่าตัวตาย</t>
  </si>
  <si>
    <t>จนท.รพช และ สสอ. /ภาคีเครือข่ายผู้รับผิดชอบงานสุขภาพจิต 70 คน</t>
  </si>
  <si>
    <t xml:space="preserve"> -ค่าอาหารกลางวัน  70 คน x 70 บาทx 1 มื้อ
</t>
  </si>
  <si>
    <t xml:space="preserve"> -ค่าอาหารว่างและเครื่องดื่ม 70 คน x 25 บาท x 2 มื้อ</t>
  </si>
  <si>
    <t>โครงการประชุมเชิงปฏิบัติการซ้อมแผนการดูแลเยียวยาจิตใจ (MCATT)ผู้ได้รับผลกระทบจากภาวะวิกฤตสุขภาพจิต</t>
  </si>
  <si>
    <t xml:space="preserve"> การประชุมเชิงปฏิบัติการซ้อมแผนการดูแลเยียวยาจิตใจ (MCATT)ผู้ได้รับผลกระทบจากภาวะวิกฤตสุขภาพจิต</t>
  </si>
  <si>
    <t xml:space="preserve"> เพื่อประเมินความพร้อมของแผนการปฏิบัติตามนโยบายและและกระบวนการดำเนินงานในการตอบโต้ดูแลเยียวยาจิตใจต่อสถานการณ์เมื่อเกิดเหตุฉุกเฉิน</t>
  </si>
  <si>
    <t xml:space="preserve">จนท.รพช และ สสอ. /ภาคีเครือข่ายผู้รับผิดชอบงานสุขภาพจิต 70 คน  </t>
  </si>
  <si>
    <t xml:space="preserve">โครงการขับเคลื่อนการป้องกันการฆ่าตัวตาย "สังคมอุบล ลดความรุนแรง" </t>
  </si>
  <si>
    <t xml:space="preserve"> -จัดประชุมเชิงปฏิบัติการขับเคลื่อนการป้องกันการฆ่าตัวตาย "สังคมอุบล ลดความรุนแรง" ในพื้นที่ 7 อำเภอ เสี่ยงสูง </t>
  </si>
  <si>
    <t>1.เพื่อพัฒนาและประเมินประสิทธิผลอำเภอต้นแบบด้านการป้องกันการฆาตัวตาย</t>
  </si>
  <si>
    <t xml:space="preserve">สสอ. /ภาคีเครือข่ายภาครัฐและเอกชน / แกนนำชุมชน ครู พระภิกษุ/เยาวชน ผู้รับผิดชอบงานสุขภาพจิต ใน 7 อำเภอ </t>
  </si>
  <si>
    <t xml:space="preserve"> -ค่าอาหารว่างและเครื่องดื่ม 20 คน x 25 บาท x 1 มื้อ  x 7 อำเภอ  x 2 ครั้ง</t>
  </si>
  <si>
    <t xml:space="preserve"> - เบี้ยเลี้ยง 120 บ. x  7 อำเภอๆละ 3 คน x 2 ครั้ง</t>
  </si>
  <si>
    <t>โครงการ ป้องกันแก้ไขปัญหาภาวะซึมเศร้าและการฆ่าตัวตายในกลุ่มอายุ 13 - 15 ปี จังหวัดอุบลราชธานี</t>
  </si>
  <si>
    <t>PPA65</t>
  </si>
  <si>
    <t xml:space="preserve">1) ทีมสุขภาพจิตระดับอำเภอ   จัดอบรมสร้างความเข้มแข็งทางใจ และจัดบริการเฝ้าระวังวัยรุ่นที่มีภาวะซึมเศร้า ปัญหาด้านสุขภาพจิตเข้าสู่ระบบการรักษา </t>
  </si>
  <si>
    <t xml:space="preserve">เพื่อให้ประชากรกลุ่มอายุ 13 - 15 ปี ในจังหวัดอุบลราชธานี ได้รับการคัดกรองภาวะซึมเศร้า  </t>
  </si>
  <si>
    <t>กลุ่มอายุ 13 - 15 ปีในสังกัดสำนักงานส่งเสริมการศึกษานอกระบบและการศึกษาตามอัธยาศัยจังหวัดอุบลราชธานี  ใน 25 ศูนย์ จำนวน 900 คน</t>
  </si>
  <si>
    <t>จัดสรรพื้นที่ดำเนินงาน เป็นค่าใช้จ่ายในการจัดอบรม</t>
  </si>
  <si>
    <t xml:space="preserve">1.โครงการประชุมเครือข่ายสุขภาพจิตและจิตเวช ระดับอำเภอ  </t>
  </si>
  <si>
    <t>2) อบรมพัฒนาบุคลากร เรื่องการบำบัดทางความคิดและพฤติกรรมแบบกลุ่ม(Cognitive Behavioral Group) ในวัยรุ่นที่มีภาวะซึมเศร้า</t>
  </si>
  <si>
    <t>เพื่อพัฒนาศักยภาพบุคลากร ให้มีความรู้ ทักษะในการให้บริการบำบัดทางความคิดและพฤติกรรมแบบกลุ่ม(Cognitive Behavioral Group) สำหรับผู้มีภาวะซึมเศร้า  ป้องกันการฆ่าตัวตาย</t>
  </si>
  <si>
    <t xml:space="preserve">จนท.รพช และ สสอ. และ คณะทำงาน รวม 50 คน  </t>
  </si>
  <si>
    <t xml:space="preserve">ค่าอาหารว่างและเครื่องดื่ม จำนวน 50 คน X 50 บาท X 2 มื้อ X 2 วัน          </t>
  </si>
  <si>
    <t xml:space="preserve">ค่าอาหารกลางวัน  จำนวน 50 คน X 250 บาท X 1 มื้อ X 2 วัน              </t>
  </si>
  <si>
    <t xml:space="preserve">ค่าอาหารเย็น  จำนวน 50 คน X 200 บาท X    1 มื้อ X 1 วัน       </t>
  </si>
  <si>
    <t xml:space="preserve">ค่าวิทยากรบรรยายและแบ่งกลุ่มฝึกปฏิบัติ                                             </t>
  </si>
  <si>
    <t xml:space="preserve"> เดี่ยว 3 ชม x 600 บ</t>
  </si>
  <si>
    <t xml:space="preserve"> กลุ่ม 3 กลุ่มๆละ 1 คน x 7 ชม x 600 บ</t>
  </si>
  <si>
    <t xml:space="preserve">ค่าที่พัก ห้องละ 1,000 บาท X 1 คืน X 18 ห้อง                                   </t>
  </si>
  <si>
    <t>ค่าวัสดุ/ เอกสารการจัดอบรม</t>
  </si>
  <si>
    <t>3) การประชุมเชิงปฏิบัติการถอดบทเรียนการดำเนินงาน ป้องกันแก้ไขปัญหาภาวะซึมเศร้าและการฆ่าตัวตายในเด็กวัยรุ่น</t>
  </si>
  <si>
    <t>เพื่อแลกเปลี่ยนเรียนรู้การดำเนินงานระหว่างหน่วยงาน ในการเฝ้าระวัง ดูแลช่วยเหลือกลุ่มที่มีภาวะซึมเศร้าและเสี่ยงต่อการทำร้ายตนเอง</t>
  </si>
  <si>
    <t>บุคลากรสาธารณสุขใน รพ./สสอ./   รพ.สต./ ครู /คณะทำงาน รวม 36 คน</t>
  </si>
  <si>
    <t xml:space="preserve">ค่าอาหารว่างและเครื่องดื่ม จำนวน 36 คน X 50 บาท X 2 มื้อ X 1 วัน          </t>
  </si>
  <si>
    <t xml:space="preserve">ค่าอาหารกลางวัน  จำนวน 36 คน X 250 บาท X 1 มื้อ X 1 วัน              </t>
  </si>
  <si>
    <t>โครงการประชุมเชิงปฏิบัติการเร่งรัดพัฒนาระบบบริการสุขภาพจิตและจิตเวชเด็กและวัยรุ่น/จิตเวชทั่วไป ในสถานบริการสาธารณสุข</t>
  </si>
  <si>
    <t>สป</t>
  </si>
  <si>
    <t xml:space="preserve"> จัดประชุมเชิงปฏิบัติการเร่งรัดพัฒนาระบบบริการสุขภาพจิตและจิตเวชเด็กและวัยรุ่น/จิตเวชทั่วไป ใน รพ.ศ/ รพท./ รพช. /รพ.สต. ผ่านทางระบบออนไลน์ </t>
  </si>
  <si>
    <t xml:space="preserve"> เพื่อเร่งรัดพัฒนาระบบบริการสุขภาพจิตและจิตเวชเด็กและวัยรุ่น/จิตเวชทั่วไป ให้ได้ตามมาตรฐานการจัดระบบบริการของกรมสุขภาพจิต
 -ประชาชนทุกกลุ่มวัยสามารถเข้าบริการสุขภาพจิตและจิตเวชที่สำคัญเพิ่มขึ้น</t>
  </si>
  <si>
    <t xml:space="preserve"> ประชุมแบบ ออนไลน์ โซน ละ 1 วัน</t>
  </si>
  <si>
    <t xml:space="preserve"> - ค่าอาหารว่างและเครื่องดืม 10 คนx 25 บาท x 2 มื้อ x 4 วัน</t>
  </si>
  <si>
    <t xml:space="preserve"> - ค่าอาหารกลางวัน 10 คนx 70 บาท x 4 มื้อ</t>
  </si>
  <si>
    <t>โครงการประชุมคณะอนุกรรมการประสานงานเพื่อการบังคับใช้กฏหมายว่าด้วยสุขภาพจิต จังหวัดอุบลราชธานี ปี 2566</t>
  </si>
  <si>
    <t>งบ สป.เฉพาะ</t>
  </si>
  <si>
    <t xml:space="preserve"> - ประชุมราชการคณะอนุกรรมการประสานงานเพื่อการบังคับใช้กฏหมายว่าด้วยสุขภาพจิต จังหวัดอุบลราชธานี</t>
  </si>
  <si>
    <t>1.เพื่อให้การบังคับใช้กฏหมายว่าด้วยสุขภาพจิต มีแนวปฏิบัติไปในทางเดียวกัน
2.เพื่อคุ้มครองสิทธิผู้ป่วยให้ได้รับการบำบัด
3.เพื่อคุ้มครองสังคมให้ปลอดภัยจากอันตรายที่อาจเกิดขึ้นจากผู้ป่วยทางจิต</t>
  </si>
  <si>
    <t>คณะอนุกรรมการฯ ,ผู้สังเกตการณ์ และคณะทำงาน รวม 34 คน จำนวน 1 ครั้ง</t>
  </si>
  <si>
    <t xml:space="preserve"> -ค่าอาหารว่างและเครื่องดื่ม 34 คน x 25 บาท x 1 มื้อ 
</t>
  </si>
  <si>
    <t xml:space="preserve"> -ค่าอาหารกลางวัน    34 คน x 70 บาท x 1 มื้อ </t>
  </si>
  <si>
    <t xml:space="preserve"> -ค่าตอบแทนคณะอนุกรรมการฯ จำนวน 20 คน
ประธาน 1,200 บาท
รองประธาน 1,000 บาท
กรรมการ 800 บาท
</t>
  </si>
  <si>
    <t xml:space="preserve"> -ประชุมคณะทำงานขับเคลื่อนงานสุขภาพจิต จังหวัดอุบลราชธานี</t>
  </si>
  <si>
    <t>1.เพื่อขับเคลื่อนการดำเนินงานสุขภาพจิต เพื่อลดความรุนแรงและป้องกันปัญหาการฆ่าตัวตาย</t>
  </si>
  <si>
    <t>คณะทำงานจากภาคีเครือข่าย รวม 34 คน</t>
  </si>
  <si>
    <t xml:space="preserve"> -ค่าอาหารว่างและเครื่องดื่ม 34 คน x 25 บาท x 1 มื้อ x 2 ครั้ง
</t>
  </si>
  <si>
    <t xml:space="preserve"> -จัดทำสื่อไวนิลประชาสัมพันธ์ให้ความรู้ พรบ.สุขภาพจิต 
 -วัสดุสิ้นเปลือง ผลิตแผ่นพับ</t>
  </si>
  <si>
    <t>ผลิตสื่อประชาสัมพันธ์</t>
  </si>
  <si>
    <t>โครงการพัฒนาศักยภาพบุคลากรเฉพาะทางสุขภาพจิตและจิตเวช</t>
  </si>
  <si>
    <t>ต้นสังกัด</t>
  </si>
  <si>
    <t>CUP</t>
  </si>
  <si>
    <t xml:space="preserve">การอบรมหลักสูตร
 -พยาบาลเฉพาะทางจิตเวชเด็กและวัยรุ่น  (PG เด็ก) 
</t>
  </si>
  <si>
    <t>1.เพื่อให้บุคลากร มีความรู้และทักษะเฉพาะทางในการกระตุ้นพัฒนาการเด็กพัฒนาการล่าช้าและดูแลผู้ป่วยจิตเวชเด็กและวัยรุ่น  
2.เพื่อให้บุคลากรมีความรู้และทักษะเฉพาะทางในการประเมินสุขภาพจิต ตรวจคัดกรองบำบัดรักษาและฟื้นฟูผู้ที่มีปัญหาสุขภาพจิตและจิตเวช</t>
  </si>
  <si>
    <t xml:space="preserve"> -รพ./ สสอ.ที่ต้องการส่งบุคลากรพัฒนาศักยภาพเพิ่มเติม</t>
  </si>
  <si>
    <t xml:space="preserve"> -ค่าลงทะเบียนการอบรม  50% เบิกจากกรมสุขภาพจิต (ต้นสังกัดจ่าย 50%)
 -ค่าใช้จ่ายต่างๆ เบิกจากงบประมาณต้นสังกัด</t>
  </si>
  <si>
    <t xml:space="preserve"> -พยาบาลเฉพาะทางจิตเวชทั่วไป (PG ทั่วไป)</t>
  </si>
  <si>
    <t>โครงการอบรมการใช้เครื่องมือกระตุ้นพัฒนาการ เด็กพัฒนาการล่าช้าด้วยเครื่องมือTEDA4I    แก่บุคลากรสาธารณสุขประจำโรงพยาบาลส่งเสริมสุขภาพตำบล และแกนนำผู้ปกครอง ปี 2566</t>
  </si>
  <si>
    <t>เนาวรัตน์ สืบภา</t>
  </si>
  <si>
    <t xml:space="preserve">การฝึกอบรม จนท.รพ.สต.และแกนนำผู้ปกครอง ในการใช้เครื่องมือ TEDA4I (หลักสูตร 2 วัน) </t>
  </si>
  <si>
    <t xml:space="preserve"> -เพื่อเพิ่มศักยภาพบุคลากร ใน รพ.สต. และแกนนำผู้ปกครองให้มีความรู้ ความเข้าใจ ทักษะในการใช้เครื่องมือ TEDA4Iกระตุ้นพัฒนาการเด็กล่าช้าในพื้นที่ และเพิ่มการเข้าถึงบริการโรคจิตเวชเด็ก 0-5 ปี </t>
  </si>
  <si>
    <t xml:space="preserve"> -เครือข่ายผู้รับผิดชอบงานกระตุ้นพัฒนาการเด็กพัฒนาการล่าช้า ใน รพ.สต. แกนนำผู้ปกครอง วิทยากร และคณะทำงาน จำนวน 120 คน แบ่งเป็น 3 รุ่นๆละ 40 คน</t>
  </si>
  <si>
    <t xml:space="preserve"> - ค่าอาหารกลางวัน ผู้เข้าร่วมประชุม 3 รุ่น ๆละ 40 คนๆ ละ 70 บาท*2 มื้อ
</t>
  </si>
  <si>
    <t xml:space="preserve"> -ค่าอาหารว่างและเครื่องดื่ม ผู้เข้าร่วมประชุม 3 รุ่น ๆละ 40 คนๆ ละ 25 บาท*4 มื้อ</t>
  </si>
  <si>
    <t>ค่าสมนาคุณวิทยากรบรรยาย 5 ชั่วโมงๆ ละ 600 บาท x 1 คน x 3 รุ่น</t>
  </si>
  <si>
    <t>ค่าสมนาคุณวิทยากรกลุ่ม 4 ชั่วโมงๆ ละ 600 บาท  x 2 คน x 3 รุ่น</t>
  </si>
  <si>
    <t xml:space="preserve">ประชุมเชิงปฏิบัติการสรุปผลการดำเนินงานสุขภาพจิตเด็กและวัยรุ่น ปีงบประมาณ 2565 และการจัดทำแผนการดำเนินงานปีงบประมาณ 2566 </t>
  </si>
  <si>
    <t>1. เพื่อพัฒนาศักยภาพบุคลากรด้านสุขภาพจิตเด็ก 
2.เพื่อพัฒนาระบบและเพิ่มการเข้าถึงบริการโรคสุขภาพจิตเด็ก
3. เพื่อขับเคลื่อนการดำเนินงานสุขภาพจิตเด็ก</t>
  </si>
  <si>
    <t xml:space="preserve">  บุคลากรสาธารณสุข
 - สสอ.ทุกอำเภอ  (25 อำเภอ) จำนวน 25 คน
- โรงพยาบาลทุกแห่ง (26 รพ.) จำนวน 26 คน
-ภาคีเครือข่ายสุขภาพจิตเด็ก จากเขตพื้นที่การศึกษาอุบลราชธานีเขต 1 - 5 จำนวน 6 คน
 - วิทยากร/คณะทำงาน  8
  รวม 70 คน
 </t>
  </si>
  <si>
    <t>ค่าอาหารว่างและเครื่องดื่ม จำนวน 70 คน  x 25 บาท  x 4 มื้อ</t>
  </si>
  <si>
    <t>ค่าอาหารกลางวัน  จำนวน 70 คน  x  70 บาท  x 2 มื้อ</t>
  </si>
  <si>
    <t xml:space="preserve">  ค่าสมนาคุณวิทยากรบรรยาย 3 ชั่วโมงๆ ละ 600 บาท x 1 คน  </t>
  </si>
  <si>
    <t xml:space="preserve"> ค่าสมนาคุณวิทยากรกลุ่ม 3 ชั่วโมงๆ ละ 600 บาท  x 3 คน  </t>
  </si>
  <si>
    <t>โครงการประชุมการเฝ้าระวัง ป้องกันและคัดกรองเด็กออทิสติก อายุ 2 - 5 ปี</t>
  </si>
  <si>
    <t>1.เพื่อให้บุคลากรเป้าหมาย มีความรู้ ทักษะในการคัดกรองค้นหาเด็กเสี่ยงออทิสติก
2.เพื่อเพิ่มการเข้าถึงบริการของโรคออิสติก   ในเด็ก 2-5 ปี</t>
  </si>
  <si>
    <t xml:space="preserve">  บุคลากรสาธารณสุข
 - สสอ.ทุกอำเภอ  25 คน
-  รพ.สต.อำเภอละ 1 แห่ง (25 คน)
 - ครูผู้ดูแลเด็กในศูนย์พัฒนาเด็กเล็ก อำเภอละ 1 แห่งๆ ละ 2 คน (50 คน)
 - วิทยากร/คณะทำงาน  10
  รวม 110 คน
หลักสูตร 1 วันๆละ 55 คน
 </t>
  </si>
  <si>
    <t xml:space="preserve"> -ค่าอาหารกลางวัน ผู้เข้าร่วมประชุม จำนวน 55 คนๆ ละ 70 บาท *1 มื้อ *2 รุ่น
</t>
  </si>
  <si>
    <t xml:space="preserve"> -ค่าอาหารว่างและเครื่องดื่มผู้เข้าร่วมประชุม จำนวน 55 คนๆ ละ  25  บาท *2 มื้อ *2 รุ่น</t>
  </si>
  <si>
    <t>โครงการ การพัฒนาเมืองสุขภาวะที่ดี การศึกษาเท่าเทียม สุ่การเป็นเมืองอัจฉริยะ กิจกรรมหลัก : เด็กไทยพัฒนาการสมวัย IQดี เติบโตดี เริ่มที่ครอบครัวคุณภาพ จังหวัดอุบลราชธานี</t>
  </si>
  <si>
    <t>โครงการดำเนินงานป้องกันและแก้ไขปัญหาความรุนแรงในเด็กและสตรี ค้ามนุษย์ และการตั้งครรภ์ไม่พึงประสงค์</t>
  </si>
  <si>
    <t>รอการจัดสรรสนับสนุนงบประมาณ</t>
  </si>
  <si>
    <t>สนง.ปลัดกระทรวง</t>
  </si>
  <si>
    <t>โครงการพัฒนาระบบดูแลเฝ้าระวังวัยรุ่นที่มีภาวะซึมเศร้า จังหวัดอุบลราชธานี ปี 2565</t>
  </si>
  <si>
    <t>รออนุมัติงบ PPA</t>
  </si>
  <si>
    <t>PPA</t>
  </si>
  <si>
    <t>การพัฒนาระบบดูแลเฝ้าระวัง
วัยรุ่นที่มีภาวะซึมเศร้า จังหวัดอุบลราชธานี ปี 2566</t>
  </si>
  <si>
    <t>1. เพื่อให้เกิดระบบการดูแลเฝ้าระวังภาวะซึมเศร้าของวัยรุ่น
2. เพื่อเสริมความเข้มแข็งทางใจแก่วัยรุ่นในโรงเรียน</t>
  </si>
  <si>
    <t>คัดกรองประชาชนเป้าหมาย อายุ 13-15 ปี</t>
  </si>
  <si>
    <t>รอการจัดสรรสนับสนุนงบประมาณ  งบ PPA</t>
  </si>
  <si>
    <t>โครงการประชุมเชิงปฏิบัติพัฒนาเครือข่ายระบบการบริการโรคตาต้อกระจก จังหวัดอุบลราชธานี ปี 2566</t>
  </si>
  <si>
    <t>ตวงพร</t>
  </si>
  <si>
    <t>6.1 ประชุมพัฒนาคูณภาพการบันทึกข้อมูล ในโปรแกรม VISION2020 THAILAND</t>
  </si>
  <si>
    <t>บุคลากรผู้รับผิดชอบ ใน รพท./รพช./รพ./สสอ.  จำนวน 60 คน</t>
  </si>
  <si>
    <t xml:space="preserve"> -ค่าอาหารว่างและเครื่องดื่ม 60คน x 25บาท x 2 มื้อ</t>
  </si>
  <si>
    <t xml:space="preserve"> -ค่าอาหารกลางวัน 60 คน x 70บาท x 1 มื้อ</t>
  </si>
  <si>
    <t xml:space="preserve">6.2 ติดตามเยี่ยมเสริมพลังด้านคุณภาพการส่งต่อ smart Refer และการดำเนินงานตรวจคัดกรองโรคต้อกระจกในผู้สูงอายุ  จังหวัดอุบลราชธานี  ประจำปี 2566
</t>
  </si>
  <si>
    <t>การติดตามเยี่ยมเสริมพลังโซนละ 1 อำเภอ จำนวน 4 อำเภอ</t>
  </si>
  <si>
    <t>ค่าเบี้ยเลี้ยงผู้ร่วมติดตามประเมิน  6 คน x 120 บาท x 4 ครั้ง</t>
  </si>
  <si>
    <t>โครงการประชุมผู้รับผิดชอบงาน 
การดูแลผู้ป่วยระยะท้ายแบบประคับประคอง (Palliative Care) จังหวัดอุบลราชธานี
ปี 2566</t>
  </si>
  <si>
    <t>ศรีสุคนธ์</t>
  </si>
  <si>
    <t xml:space="preserve">1.ประชุมผู้รับผิดชอบงานชี้แจงแนวทางการดำเนินงานเพื่อให้ผู้ป่วยระยะท้ายแบบประคับประคองได้รับการดูแลรักษาแบบประคับประคอง (Palliative Care) และกึ่งเฉียบพลัน อย่างมีคุณภาพ </t>
  </si>
  <si>
    <t>บุคลากรสาธารณสุข พยาบาล ผู้รับผิดชอบงาน Palliative care จาก รพศ./ รพท./รพช./  สสอ.ทุกแห่ง แห่งละ 1 คน   จำนวน 60 คน</t>
  </si>
  <si>
    <t xml:space="preserve">2.ติดตามเยี่ยมเสริมพลังคุณภาพการให้บริการ และคุณภาพการบันทึกข้อมูลการดูแลผู้ป่วยระยะท้ายแบบประคับประคอง (Palliative Care) และกึ่งเฉียบพลัน ตามแผนการดูแลล่วงหน้า (Advance Care Planning) </t>
  </si>
  <si>
    <t xml:space="preserve">จำนวน 8 อำเภอ
</t>
  </si>
  <si>
    <t>ค่าเบี้ยเลี้ยง จนท. 3 คน x 120 บาท x 8 วัน</t>
  </si>
  <si>
    <t>โครงการประชุมผู้รับผิดชอบงานผู้พิการและฟื้นฟูสมรรถภาพทางการแพทย์ จังหวัดอุบลราชธานี ปี 2566</t>
  </si>
  <si>
    <t>เพื่อชี้แจงนโยบายและแนวทางการพัฒนาระบบบริการฟื้นฟูสมรรถภาพทางการแพทย์</t>
  </si>
  <si>
    <t>ผู้รับผิดชอบงานผู้พิการ และนักกายภาพบำบัดจาก รพศ./รพท./รพช./สสอ.ทุกแห่ง จำนวนทั้งสิ้น 60 คน</t>
  </si>
  <si>
    <t>PP&amp;P</t>
  </si>
  <si>
    <t xml:space="preserve">โครงการพัฒนาศักยภาพบุคลากรผู้รับผิดชอบงาน
โรคไม่ติดต่อโรคเรื้อรัง จังหวัดอุบลราชธานี ปีงบประมาณ 2566
 </t>
  </si>
  <si>
    <t xml:space="preserve"> - จัดประชุม PM ชี้แจงตัวชี้วัดและนโยบายการดำเนินงาน ปี งบประมาณ 2566
 - จัดประชุมติดตามผลการดำเนินงานตามตัวชี้วัดและนโยบายรายไตรมาสและนำเสนอผลการดำเนินงาน
  - จัดประชุมสรุปผลการดำเนินงานและนวัตกรรม</t>
  </si>
  <si>
    <t xml:space="preserve"> - เพื่อถ่ายทอดนโยบาย แนวทางการดำเนินงาน และการควบคุมกำกับงานโรคไม่ติดต่อเรื้อรัง
 - กำกับผลการดำเนินงาน</t>
  </si>
  <si>
    <r>
      <t xml:space="preserve"> - PM ระดับจังหวัด จำนวน 5 คน
 - PM ระดับอำเภอ จำนวน 50 คน
 รวม 55 คน
      </t>
    </r>
    <r>
      <rPr>
        <b/>
        <sz val="8"/>
        <rFont val="Tahoma"/>
        <family val="2"/>
      </rPr>
      <t xml:space="preserve">ออนไซด์  2 ครั้ง </t>
    </r>
  </si>
  <si>
    <t xml:space="preserve"> - ค่าอาหารกลางวัน จำนวน 1 มื้อๆ ละ 70 บาท * 55 คน * 2 ครั้ง</t>
  </si>
  <si>
    <t xml:space="preserve"> </t>
  </si>
  <si>
    <t xml:space="preserve"> - ค่าอาหารว่างและเครื่องดื่ม จำนวน 2 มื้อๆ ละ 25 บาท * 55 คน * 2ครั้ง</t>
  </si>
  <si>
    <t>ออนไลน์ 2 ครั้ง</t>
  </si>
  <si>
    <t xml:space="preserve"> - ค่าอาหารกลางวัน มื้อๆ ละ 70 บาท * 10 คน * 2 ครั้ง</t>
  </si>
  <si>
    <t xml:space="preserve"> - ค่าอาหารว่างและเครื่องดื่ม จำนวน 2 มื้อๆ ละ 25 บาท * 10 คน * 2ครั้ง</t>
  </si>
  <si>
    <t xml:space="preserve">โครงการพัฒนาศักยภาพบุคลากรในการตรวจคัดกรองจอประสาทตาในผู้ป่วยเบาหวาน จังหวัดอุบลราชธานี ปีงบประมาณ 2566
 </t>
  </si>
  <si>
    <t xml:space="preserve"> - อบรมบุคลากรที่รับผิดชอบงานโรคไม่ติดต่อเรื้อรังในการคัดกรองจอประสาทตาในผู้ป่วยเบาหวาน</t>
  </si>
  <si>
    <t xml:space="preserve"> - เพื่อตรวจคัดกรอง
จอประสาทตาในผู้ป่วยเบาหวาน อย่างน้อย
ปีละ 1 ครั้ง</t>
  </si>
  <si>
    <t xml:space="preserve"> - PM ระดับอำเภอ 
จำนวน 50 คน
 - บุคลากรจาก
รพ.สต. จำนวน 200 คน
 รวม 250 คน </t>
  </si>
  <si>
    <t xml:space="preserve"> - ค่าอาหารกลางวัน จำนวน 1 มื้อๆ ละ 70 บาท * 250 คน </t>
  </si>
  <si>
    <t xml:space="preserve"> - ค่าอาหารว่างและเครื่องดื่ม จำนวน 2 มื้อๆ ละ 25 บาท *250 คน  </t>
  </si>
  <si>
    <t xml:space="preserve"> - ค่าตอบแทนวิทยากรเดี่ยว จำนวน 1 ชั่วโมง
 * 600 บาท
- ค่าตอบแทนวิทยากรกลุ่ม จำนวน 4 ชึ่วโมง * 600 บาท * 3 คน</t>
  </si>
  <si>
    <t xml:space="preserve">โครงการพัฒนาการดำเนินงานการดูแลผู้ป่วยเบาหวานในระยะสงบ (Remission DM) จังหวัดอุบลราชธานี ปีงบประมาณ 2566
 </t>
  </si>
  <si>
    <t xml:space="preserve"> - จัดประชุมทีมสหวิชาชีพใน รพ.เป้าหมาย ในการดำเนินงานและนำเสนอแนวทางการดำเนินงาน Diabetes remissiom UBON Model 
</t>
  </si>
  <si>
    <t xml:space="preserve"> - เพื่อแลกเปลี่ยนเรียนรู้แนวทางการดำเนินงานในการดูแลผู้ป่วยเบาหวานในระยะสงบ
- ถอดบทเรียน สรุปแนวทางการดำเนินงานเพื่อขับเคลื่อนนโยบายสู่อำเภออื่นๆ</t>
  </si>
  <si>
    <t xml:space="preserve"> - ทีมสหวิชาชีพจาก รพ. 6 แห่งๆ ละ 10 คน
 - PM ระดับจังหวัด จำนวน 5 คน
รวม 65 คน 
วิธีการ online 2 ครั้ง onsite 2 ครั้ง</t>
  </si>
  <si>
    <t xml:space="preserve"> - ค่าอาหารกลางวัน จำนวน 1 มื้อๆ ละ 70 บาท * 65 คน * 2 ครั้ง</t>
  </si>
  <si>
    <t xml:space="preserve"> - ค่าอาหารว่างและเครื่องดื่ม จำนวน 2 มื้อๆ ละ 25 บาท * 65 คน * 2 ครั้ง</t>
  </si>
  <si>
    <t xml:space="preserve"> - ติดตาม และ เยี่ยมเสริมพลังการดำเนินงาน   6 อำเภอ</t>
  </si>
  <si>
    <t>รวบรวมผลการดำเนินงาน วิเคราะห์สภาพการดำเนินงานปัญหา แนวทางปฏิบติ</t>
  </si>
  <si>
    <t xml:space="preserve"> 6 อำเภอ ๆละ 1 วัน  ( 5 คน)</t>
  </si>
  <si>
    <t xml:space="preserve"> - ค่าเบี้ยเลี้ยงการนิเทศ ติดตาม เยี่ยมเสริมพลัง จำนวน 5 คน * 6 วัน * 120 บาท</t>
  </si>
  <si>
    <t>โครงการพัฒนาคุณภาพคลินิก NCD &amp; CKD Clinic Plus จังหวัดอุบลราชธานี ปีงบประมาณ 2566</t>
  </si>
  <si>
    <t xml:space="preserve"> - ประชุมประเมินรับรองผลการพัฒนา จำนวน 2 ครั้ง</t>
  </si>
  <si>
    <t xml:space="preserve"> - เพื่อพัฒนาการดำเนินงานคลินิก NCD &amp; CKD ให้มีคุณภาพตามเกณฑ์มาตรฐาน</t>
  </si>
  <si>
    <t xml:space="preserve"> - PM ระดับจังหวัด 
จำนวน 5 คน
 - PM ระดับอำเภอ 
จำนวน 50 คน</t>
  </si>
  <si>
    <t xml:space="preserve"> - ค่าอาหารกลางวัน จำนวน 1 มื้อๆ ละ 70 บาท* 55 คน * 2 ครั้ง</t>
  </si>
  <si>
    <t xml:space="preserve"> - ค่าอาหารว่างและเครื่องดื่ม จำนวน 2 มื้อๆ ละ 25 บาท * 55 คน  * 2  ครั้ง</t>
  </si>
  <si>
    <t>โครงการพัฒนางานโภชนบำบัดในผู้ป่วยเบาหวาน ความดันโลหิตสูงและ
ไตวายเรื้อรัง ปีงบประมาณ 2566</t>
  </si>
  <si>
    <t xml:space="preserve"> - ประชุมนักโภชนาการ หรือบุคลากรที่ทำหน้าที่แทน
นักโภชนาการ   </t>
  </si>
  <si>
    <t xml:space="preserve"> - เพื่อพัฒนางานโภชนบำบัดผู้ป่วย DM,HT,CKD
- เพื่อแลกเปลี่ยนเรียนรู้การขับเคลื่อน รพ.เค็มน้อยอร่อย 3 ดี</t>
  </si>
  <si>
    <t xml:space="preserve"> - นักโภชนาการ หรือบุคลากรที่ทำหน้าที่แทนนักโภชนาการ   
รวม 30 คน 
 - PM ระดับจังหวัด
จำนวน 5 คน</t>
  </si>
  <si>
    <t xml:space="preserve"> - ค่าอาหารกลางวัน จำนวน 1 มื้อๆ ละ 70 บาท* 35 คน * 2 ครั้ง</t>
  </si>
  <si>
    <t xml:space="preserve"> - ค่าอาหารว่างและเครื่องดื่ม จำนวน 2 มื้อๆ ละ 25 บาท * 35 คน  * 2  ครั้ง</t>
  </si>
  <si>
    <t>โครงการตรวจสุขภาพบุคลากรในสังกัดสำนักงานสาธารณสุขจังหวัดอุบลราชธานี ประจำปีงบประมาณ 2566</t>
  </si>
  <si>
    <t xml:space="preserve"> - จัดประชุมการตรวจสุขภาพประจำปีและการสร้างความรอบรู้ด้านสุขภาพแก่บุคลากร</t>
  </si>
  <si>
    <t xml:space="preserve"> -เพื่อสร้างตวามตระหนักในการดูแลสุขภาพตนเองของบุคลากรในสังกัดสำนักงานสาธารณสุขจังหวัดอุบลราชธานี</t>
  </si>
  <si>
    <t xml:space="preserve"> -เจ้าหน้าที่ในสังกัดสำนักงานสาธารณสุขจังหวัดอุบลราชธานี จำนวน 250 คน</t>
  </si>
  <si>
    <t xml:space="preserve"> - ค่าอาหารว่างและเครื่องดื่ม จำนวน 2 มื้อๆ ละ 25 บาท * 250 คน </t>
  </si>
  <si>
    <t>โครงการพัฒนาสุขภาวะที่ดี การศึกษาเท่าเทียมสู่การเป็นเมืองอัจฉริยะ (ตรวจ US จังหวัดอุบลราชธานี)</t>
  </si>
  <si>
    <t xml:space="preserve"> - ส่งเสริมพัฒนาความรอบรู้(Helth Litteracy)เรื่อง OVCCAและบริการคัดกรองด้วยอัลตร้าซาวด์</t>
  </si>
  <si>
    <t xml:space="preserve"> - ประชาชนกลุ่มเสี่ยง อายุ 40 ปีขึ้นไป จำนวน 13,600 คนใน 25 อำเภอ</t>
  </si>
  <si>
    <t xml:space="preserve"> -ค่าอาหารกลางวัน มื้อ ละ 80 บาทX 13,600 คน x 1 มื้อ</t>
  </si>
  <si>
    <t>นางภูริดา  
พลศักดิ์</t>
  </si>
  <si>
    <t xml:space="preserve"> -ค่าอาหารว่างและเครื่องดื่ม มื้อ ละ25 บาท*2 มื้อ x  13,600 คน</t>
  </si>
  <si>
    <t>นางฐานิตาภัค</t>
  </si>
  <si>
    <t>โครงการคัดกรองมะเร็งตับและท่อน้ำดี จังหวัดอุบลราชธานี</t>
  </si>
  <si>
    <t>ตรวจ US</t>
  </si>
  <si>
    <t xml:space="preserve"> - ประชาชนกลุ่มเสี่ยง อายุ 40 ปีขึ้นไป จำนวน 2,000 คนใน 25 อำเภอ</t>
  </si>
  <si>
    <t xml:space="preserve"> -ค่าอาหารกลางวัน มื้อ ละ 50 บาทX 2,000 คน x 1 มื้อ</t>
  </si>
  <si>
    <t xml:space="preserve"> -ค่าอาหารว่างและเครื่องดื่ม มื้อ ละ25 บาท*2 มื้อ x  2,000 คน</t>
  </si>
  <si>
    <t xml:space="preserve"> ประชุมการดำเนินงานมะเร็ง จ.อุบลราชธานี</t>
  </si>
  <si>
    <t xml:space="preserve"> PM ระดับอำเภอ  และจังหวัด รวม 50 คน</t>
  </si>
  <si>
    <t xml:space="preserve"> -ค่าอาหารว่างและเครื่องดื่ม มื้อ ละ25 บาท*2 มื้อ x  50 คน</t>
  </si>
  <si>
    <t xml:space="preserve"> -ค่าอาหารกลางวัน มื้อ ละ 70 บาทX 50 คน x 1 มื้อ</t>
  </si>
  <si>
    <t>ถอดบทเรียนระดับโซน จำนวน 4 ครั้ง</t>
  </si>
  <si>
    <t xml:space="preserve">จนท.สธ. จำนวน 280 คน / จัดประชุมแยกรายโซน  4 ครั้ง </t>
  </si>
  <si>
    <t xml:space="preserve"> -ค่าอาหารกลางวัน มื้อ ละ 50 บาท 280 คน x 1 มื้อ</t>
  </si>
  <si>
    <t xml:space="preserve"> -ค่าอาหารว่างและเครื่องดื่ม มื้อ ละ25 บาท*2 มื้อ x  280 คน</t>
  </si>
  <si>
    <t>โครงการคัดกรองเต้านมด้วยรถเอกซเรย์เต้านม(Mammogram) เฉลิมพระเกียรติพระวชิรเกล้าเจ้าอยู่หัว จังหวัดอุบลราชธานี ปี2566</t>
  </si>
  <si>
    <t xml:space="preserve"> - ประชุมชี้แจงเตรียมจัดกิจกรรมในระดับพื้นที่</t>
  </si>
  <si>
    <t xml:space="preserve">  - คณะทำงานคัดกรองมะเร็งเต้านม ฯจำนวน 20 คน</t>
  </si>
  <si>
    <t xml:space="preserve"> -ค่าอาหารกลางวัน มื้อ ละ 70 บาทX 20 คน x 1 มื้อ</t>
  </si>
  <si>
    <t xml:space="preserve"> -ค่าอาหารว่างและเครื่องดื่ม มื้อ ละ25 บาท*2 มื้อ x  20 คน</t>
  </si>
  <si>
    <t xml:space="preserve"> - ดำเนินการออกรณรงค์ให้ความรู้การตรวจเต้านมและบริการด้วยรถเอกซเรย์เต้านมเคลื่อนที่(Mammogram)ในพื้นที่ 4  โซน ๆละ1 วัน วันละ 50 คน</t>
  </si>
  <si>
    <t xml:space="preserve"> - ประชาชนและสตรีกลุ่มเสี่ยงใน 25 อำเภอ จำนวน 400 คน</t>
  </si>
  <si>
    <t xml:space="preserve"> -ค่าอาหารกลางวัน มื้อ ละ 70 บาทX 400 คน x 1 มื้อ</t>
  </si>
  <si>
    <t xml:space="preserve"> -ค่าอาหารว่างและเครื่องดื่ม มื้อ ละ25 บาท*2 มื้อ x  400 คน</t>
  </si>
  <si>
    <t xml:space="preserve">โครงการเสริมสร้างทักษะและพัฒนาศักยภาพบุคลากรในการดำเนินงานยาเสพติดระดับอำเภอ
</t>
  </si>
  <si>
    <t>เยาวลักษณ์</t>
  </si>
  <si>
    <t>สป.เฉพาะ</t>
  </si>
  <si>
    <t xml:space="preserve">1 จัดประชุมชี้แจงการดำเนินงานยาเสพติด ภาคีเครือข่ายทั้งในและนอกกระทรวงสาธารณสุข  1 ครั้ง  
 </t>
  </si>
  <si>
    <t xml:space="preserve"> -ผู้รับผิดชอบงานยาเสพติด จากหน่วยบำบัด รพช./รพท./รพศ./สสอ./ สนง.คุมประพฤติ/เรือนจำกลาง/สถานพินิจ/ศูนย์ฝึกและอบรมเด็กจำนวน 70  คน</t>
  </si>
  <si>
    <t xml:space="preserve"> -ค่าอาหารว่างและเครื่องดื่ม 70คน x 25บาท x 2 มื้อ</t>
  </si>
  <si>
    <t xml:space="preserve"> -ค่าอาหารกลางวัน 70 คน x 70บาท x 1 มื้อ</t>
  </si>
  <si>
    <t>2 .จัดประชุมติดตามงานผู้รับผิดชอบงานยาเสพติด ระดับอำเภอ  3 ครั้ง 
 ( online 2 ครั้ง
on site 1 ครั้ง)</t>
  </si>
  <si>
    <t>เพื่อชี้แจงนโยบายงาน   ยาเสพติดและแนวทางการดำเนินงานทุกระบบ/ เวทีแลกเปลี่ยนเรียนรู้การทำงาน/ติดตามผลการดำเนินงาน/ปัญหา อุปสรรค</t>
  </si>
  <si>
    <t xml:space="preserve"> -ผู้รับผิดชอบงานยาเสพติด จากหน่วยบำบัด รพช./รพท./รพศ./สสอ. จำนวน 60  คน</t>
  </si>
  <si>
    <t xml:space="preserve"> -ค่าอาหารว่างและเครื่องดื่ม 10 คน x 25บาท x 2 มื้อx 2 ครั้ง</t>
  </si>
  <si>
    <t xml:space="preserve"> -ค่าอาหารกลางวัน 10 คน x 70บาท x 2 มื้อ</t>
  </si>
  <si>
    <t xml:space="preserve"> -ค่าอาหารว่างและเครื่องดื่ม 60 คน x 25บาท x 2 มื้อ</t>
  </si>
  <si>
    <t xml:space="preserve"> -ค่าอาหารกลางวัน 60 คน x 70บาท </t>
  </si>
  <si>
    <t xml:space="preserve">โครงการประชุมเชิงปฏิบัติการ พัฒนาศักยภาพเจ้าหน้าที่ในศูนย์คัดกรอง สถานพยาบาลยาเสพติด ศุนย์ฟื้นฟูสภาพทางสังคม และภาคีเครือข่าย ในการบันทึกข้อมูล ในระบบ บสต. </t>
  </si>
  <si>
    <t xml:space="preserve">1.จัดประชุม ชี้แจงแนวทางการ รับ ส่ง ผู้ป่วยระหว่างหน่วยงานที่เกี่ยวข้อง </t>
  </si>
  <si>
    <t xml:space="preserve"> - เพื่อกำหนดแนวทางการส่งต่อผู้ป่วย และข้อมูลผู้ป่วย ระหว่างหน่วยงาน</t>
  </si>
  <si>
    <t xml:space="preserve"> - ตำรวจ สภ.ละ 1 รวม 36 คน
 - จนท. ศูนย์คัดกรอง   72 คน
 - จนท. รพ. 26 คน
 - จนท.สสอ. 25 คน รวมทั้งสิ้น 159 คน</t>
  </si>
  <si>
    <t xml:space="preserve"> -ค่าอาหารว่างและเครื่องดื่ม  159 คน x 25บาท x 2 มื้อ</t>
  </si>
  <si>
    <t xml:space="preserve"> -ค่าอาหารกลางวัน 159  คน x 70บาท x 1 มื้อ</t>
  </si>
  <si>
    <t xml:space="preserve">  3  จัดประชุมเชิงปฏิบัติการ การบันทึกข้อมูล ระบบการบำบัดรักษาและฟื้นฟูสมรรถภาพผู้เสพ/ผู้ติดยาเสพติด (บสต.) จำนวน 4 รุ่น ๆ ละ   1 วัน</t>
  </si>
  <si>
    <t>พัฒนาศักยภาพ จนท. ผู้ปฏิบัติงาน ยาเสพติด ระดับอำเภอ ตำบล ในการบันทึกข้อมูล และนำไปใช้ในการวิเคราะห์เพื่อวางแผนพัฒนางาน ยาเสพติด</t>
  </si>
  <si>
    <t xml:space="preserve"> -ผู้รับผิดชอบงานยาเสพติด จากศูนย์คัดกรอง /
สถานพยาบาลยาเสพติด/ศูนย์ฟื้นฟูสภาพทางสังคม/ผู้รับผิดชอบงานยาเสพติด ระดับอำเภอ รวม  350 คน</t>
  </si>
  <si>
    <t xml:space="preserve"> -ค่าอาหารว่างและเครื่องดื่ม 350 คน x 25บาท x 2 มื้อ</t>
  </si>
  <si>
    <t xml:space="preserve"> -ค่าอาหารกลางวัน 350 คน x 70บาท x 1 มื้อ</t>
  </si>
  <si>
    <t xml:space="preserve"> โครงการประเมินคุณภาพมาตรฐานคลินิคบำบัดรักษายาเสพติด  (Re-accredit) ปี 2566</t>
  </si>
  <si>
    <t xml:space="preserve"> 1   Coaching พื้นที่  3 แห่ง </t>
  </si>
  <si>
    <t xml:space="preserve">เพื่อให้รพ.ที่ยังไม่ผ่านการประเมินได้รับการประเมินเพื่อรับรองคุณภาพมาตรฐานคลินิคบำบัดรักษายาเสพติด  (Accredit) </t>
  </si>
  <si>
    <t>รพ.เขื่องใน
รพ.พิบูลมังสาหาร
รพ.วารินชำราบ</t>
  </si>
  <si>
    <t xml:space="preserve"> - ค่าเบี้ยเลี้ยง จนท.ออก Coaching 8 คนๆละ 3 วัน</t>
  </si>
  <si>
    <t xml:space="preserve"> 2 ประเมินคุณภาพมาตรฐาน คลินิคบำบัดรักษายาเสพติดในโรงพยาบาลที่ยังไม่ได้ประเมินรับรองคุณภาพ</t>
  </si>
  <si>
    <t xml:space="preserve"> - ค่าเบี้ยเลี้ยง 
จนท. ออกร่วมประเมินรับรอง 6คนๆละ 1 วัน
</t>
  </si>
  <si>
    <t>โครงการพัฒนาศักยภาพบุคลากรในการให้คำปรึกษาและโปรแกรมจิตสังคมบำบัดสำหรับผู้ป่วยยาเสพติด
 (ความร่วมมือระหว่างโรงพยาบาลธัญญารักษ์ขอนแก่นและสำนักงานสาธารณสุขจังหวัดอุบลราชธานี)</t>
  </si>
  <si>
    <t xml:space="preserve"> - จัดอบรมเจ้าหน้าที่รับผิดชอบงานบำบัด
ยาเสพติด หลักสูตร 5 วัน</t>
  </si>
  <si>
    <t xml:space="preserve">เพื่อพัฒนาศักยภาพบุคลากรสาธารณสุขด้านทักษะการปรึกษา และโปรแกรมจิตสังคมบำบัดสำหรับผู้ป่วยยาเสพติดแก่บุคลากรสหวิชาชีพที่ปฏิบัติงานยาเสพติดในพื้นที่จังหวัดอุบลราชธานี  </t>
  </si>
  <si>
    <t>สหวิชาชีพที่รับผิดชอบงานบำบัดยาเสพติดใน รพศ./รพท./รพช./สสอ รวม  50  คน</t>
  </si>
  <si>
    <t xml:space="preserve"> - ค่าอาหารว่างและเครื่องดื่มผู้เข้าอบรม 50 คนๆละ  10 มื้อๆละ 25 บาท</t>
  </si>
  <si>
    <t xml:space="preserve"> - ค่าอาหารกลางวันผู้เข้าอบรม 50 คนๆละ  5 มื้อๆละ 70 บาท</t>
  </si>
  <si>
    <t xml:space="preserve"> - ค่าวัสดุ/สื่อในการอบรม คนละ 20 บาท</t>
  </si>
  <si>
    <t xml:space="preserve">โครงการบำบัดรักษาผู้เสพ/ผู้ติดสารเสพติด   ในระบบสมัครใจ  ปี 2566
 </t>
  </si>
  <si>
    <t>เพื่อให้ผู้รับการบำบัดรักษาในระบบสมัครใจ ได้รับการบำบัดรักษา ตามเกณฑ์มาตรฐานที่กำหนด</t>
  </si>
  <si>
    <t>จัดสรรงบประมาณตามผลบำบัดรักษาให้โรงพยาบาลทุกแห่ง (เป้าหมาย 1,406  ราย)</t>
  </si>
  <si>
    <t>ประมาณการงบประมาณที่ได้รับจัดสรรจากกระทรวงสาธารณสุข  ปี 2565 จัดสรรรอบที่ 1 เป็นเงิน  859,350 บาท  จัดสรรรอบที่ 2เป็นเงิน  500,000 บาท จัดสรรรอบที่ 3เป็นเงิน  500,000 บาท รวมเป็นเงินทั้งสิ้น 1,859,350 บาท 
** เปลี่ยนแปลงตามที่ได้รับการจัดสรรจากส่วนกลาง**</t>
  </si>
  <si>
    <t>โครงการติดตามเยี่ยมผู้ผ่านการบำบัดรักษาระบบสมัครใจบำบัด  ปี 2566</t>
  </si>
  <si>
    <t>จัดสรรงบประมาณให้โรงพยาบาลในการออกติดตามเยี่ยมผู้ผ่านการบำบัดรักษาระบบสมัครใจ</t>
  </si>
  <si>
    <t>ตามผลงานการเยี่ยม  รพช.รพท.รพศ.</t>
  </si>
  <si>
    <t>ค่าติดตามเยี่ยม รายละ 480 บาท โดยเยี่ยมอย่างน้อย 4-7 ครั้ง/ปี    จัดสรรให้พื้นที่ดำเนินการ</t>
  </si>
  <si>
    <t>โครงการจัดทำป้ายศูนย์คัดกรอง ตามประมวลกฏหมายยาเสพติด พ.ศ. 2564</t>
  </si>
  <si>
    <t xml:space="preserve"> - จัดจ้างทำป้ายศูนย์คัดกรอง ให้ครอบคลุมทุกแห่ง</t>
  </si>
  <si>
    <t xml:space="preserve"> - เพื่อให้ศูนย์คัดกรองตามประมวลกฏหมายยาเสพติด ที่ขึ้นทะเบียน มีป้ายศูนย์คัดกรอง ถูกต้องตามกฏหมาย</t>
  </si>
  <si>
    <t>ศูนย์คัดกรองที่ขอขึ้นทะเบียนจำนวน 323 แห่ง
สธ. 268 แห่ง
อปท. 56 แห่ง</t>
  </si>
  <si>
    <t xml:space="preserve"> -จัดจ้างทำป้ายศูนย์คัดกรอง 323 ป้ายๆละ 400 บาท</t>
  </si>
  <si>
    <t>ประกวดจังหวัดและชมรม TO BE NUMBER ONE รอบระดับภาคตะวันออกเฉียงเหนือ ประจำปี 2566</t>
  </si>
  <si>
    <t>1. ประชุมคณะทำงานเพื่อเตรียมความพร้อมในการนำเสนอผลการดำเนินงานตามเกณฑ์การประกวด</t>
  </si>
  <si>
    <t>เพื่อเตรียมความพร้อมในการนำเสนอผลการดำเนินงานตามเกณฑ์การประกวด</t>
  </si>
  <si>
    <t>คณะทำงานและสมาชิก จำนวน 45 คน</t>
  </si>
  <si>
    <t xml:space="preserve"> - ค่าอาหารว่างและเครื่องดื่มผู้เข้าประชุม 45 คนๆละ  1 มื้อๆละ 25 บาท</t>
  </si>
  <si>
    <t xml:space="preserve"> - ค่าอาหารกลางวันผู้เข้าประชุม 45 คนๆละ  1 มื้อๆละ 70 บาท</t>
  </si>
  <si>
    <t>2.  Coaching Team ชมรม TO BE NUMBER ONE ที่จะเข้าร่วมการประกวด</t>
  </si>
  <si>
    <t xml:space="preserve"> - เพื่อถ่ายทอดองค์ความรู้การพัฒนาชมรม TO BE NUMBER ONE สู่ต้นแบบระดับภาค
 </t>
  </si>
  <si>
    <t xml:space="preserve">ชมรม TO BE NUMBER ONE  จำนวน 6 ชมรม  </t>
  </si>
  <si>
    <t xml:space="preserve"> - ค่าอาหารว่างและเครื่องดื่ม ผู้เข้าร่วมประชุม 6 ชมรมx 15 คนx 25 บาท x 2 มื้อ</t>
  </si>
  <si>
    <t xml:space="preserve"> - ค่าอาหารกลางวัน ผู้เข้าร่วมประชุม 6 ชมรมx 15 คนx 70 บาท </t>
  </si>
  <si>
    <t xml:space="preserve"> - เบี้ยเลี้ยงเจ้าหน้าที่จำนวน 6 คนx 120 บาทx 6 วัน</t>
  </si>
  <si>
    <t>3. ประชุมคณะทำงานเพื่อจัดทำข้อมูลนำเสนอสรุปผลการดำเนินงานของชมรมฯ</t>
  </si>
  <si>
    <t>เพื่อจัดทำข้อมูลนำเสนอสรุปผลการดำเนินงานของชมรมฯ ตามเกณฑ์การประกวดระดับภาค</t>
  </si>
  <si>
    <t>คณะทำงานและสมาชิกชมรม จำนวน 175 คน</t>
  </si>
  <si>
    <t xml:space="preserve"> - ค่าอาหารว่างและเครื่องดื่มผู้เข้าประชุม 175 คนๆละ 2 มื้อๆละ 25 บาท</t>
  </si>
  <si>
    <t xml:space="preserve"> - ค่าอาหารกลางวันผู้เข้าประชุม 175 คนๆละ  1 มื้อๆละ 70 บาท</t>
  </si>
  <si>
    <t xml:space="preserve">4. ประกวด TO BE NUMBER ONE ระดับภาคตะวันออกเฉียงเหนือ ประเภทจังหวัด </t>
  </si>
  <si>
    <t>เพื่อร่วมกิจกรรมการประกวดและนำเสนอผลการดำเนินงานจังหวัด อำเภอและชมรม TO BE NUMBER ONE ระดับภาคตะวันออกเฉียงเหนือ</t>
  </si>
  <si>
    <t xml:space="preserve"> - คณะกรรมการ TO BE NUMBER ONE ระดับจังหวัด/สมาขิกชมรม 28 คน
 </t>
  </si>
  <si>
    <t xml:space="preserve"> - ค่าที่พักหัวหน้าส่วนราชการ 2x 1,600 บาทx1 คืน</t>
  </si>
  <si>
    <t xml:space="preserve"> - ค่าที่พัก จนท.และ พขร. 9 ห้องx 1 คืนx 1,600 บาท </t>
  </si>
  <si>
    <t xml:space="preserve"> - เหมาจ่ายค่าที่พักสมาชิก 500 บาทx 6 คนx 2 คืน</t>
  </si>
  <si>
    <t xml:space="preserve"> - ค่าเบี้ยเลี้ยงระดับเชี่ยวชาญ 4 คนx2 วันx270 บาท </t>
  </si>
  <si>
    <t xml:space="preserve"> - ค่าเบี้ยเลี้ยง จนท.และพนักงานขับรถ 18 คนx2 วันx240 บาท </t>
  </si>
  <si>
    <t xml:space="preserve"> - ค่าเบี้ยเลี้ยงสมาชิก 6 คนx3 วันx 120 บาท</t>
  </si>
  <si>
    <t xml:space="preserve"> - ค่าน้ำมันเชื้อเพลิงรถตู้ไป-กลับ 4,000 บาทx 2คัน</t>
  </si>
  <si>
    <t xml:space="preserve"> - ค่าวัสดุจัดทำเอกสารนำเสนอผลการดำเนินงาน</t>
  </si>
  <si>
    <t>5. ประกวดTO BE NUMBER ONE ระดับภาคตะวันออกเฉียงเหนือ 
ประเภทอำเภอและชมรม TO BE NUMBER ONE</t>
  </si>
  <si>
    <t xml:space="preserve">   สมาชิกชมรม TO BE NUMBER ONE ประเภทอำเภอ 3 ชมรม และประเภทชมรม 14 ชมรม</t>
  </si>
  <si>
    <t xml:space="preserve"> - เหมาจ่ายค่าที่พักสมาชิกและกองเชียร์ TO BE NUMBER ONE
 500 บาท x 15 คน x 2 คืนx 17 ชมรม </t>
  </si>
  <si>
    <t xml:space="preserve"> - ค่าเบี้ยเลี้ยงสมาชิกและกองเชียร์ TO BE NUMBER ONE  120 บาท x 15 คน x 3 วัน x 17 ชมรม</t>
  </si>
  <si>
    <t>ประกวดจังหวัด อำเภอและชมรม TO BE NUMBER ONE ระดับประเทศประจำปี 2566</t>
  </si>
  <si>
    <t>1.ประกวดจังหวัด อำเภอและชมรม TO BE NUMBER ONE ระดับประเทศ รอบลงพื้นที่  ประจำปี 2566</t>
  </si>
  <si>
    <t>เพื่อรับการตรวจเยี่ยมจากคณะกรรมการประกวดจังหวัด อำเภอและชมรม TO BE NUMBER ONE ระดับประเทศ รอบลงพื้นที่ ประจำปี 2566</t>
  </si>
  <si>
    <t xml:space="preserve"> - ประเภทจังหวัด  1 
- ประเภทอำเภอ 1 อำเภอ
 - ประเภทชมรม 10 ชมรม</t>
  </si>
  <si>
    <t>1.1 ประชุมคณะทำงานระดับจังหวัด</t>
  </si>
  <si>
    <t>เพื่อเตรียมความพร้อมในการนำเสนอผลการดำเนินงานตามเกณฑ์การประกวดประเภทจังหวัด</t>
  </si>
  <si>
    <t>คณะทำงานและสมาชิก จำนวน 60 คน</t>
  </si>
  <si>
    <t xml:space="preserve">  - ค่าอาหารว่างและเครื่องดื่ม ผู้เข้าร่วมประชุม จำนวน  60 คน x 2 มื้อ x 25 บาท x 1 ครั้ง          </t>
  </si>
  <si>
    <t xml:space="preserve">  - ค่าอาหารกลางวันผู้เข้าร่วมประชุม จำนวน  60 คน x 70 บาท x 1 มื้อ</t>
  </si>
  <si>
    <t>1.2 ประชุมคณะทำงานประเภทชมรม</t>
  </si>
  <si>
    <t>เพื่อพัฒนาข้อมูลสรุปการดำเนินงานตามเกณฑ์การประกวดในการนำเสนอผลการดำเนินงานตามเกณฑ์การประกวดประเภทชมรม</t>
  </si>
  <si>
    <t>คณะทำงานและสมาชิก จำนวน 30 คนx 11 ชมรมๆ ละ 1 วัน</t>
  </si>
  <si>
    <t xml:space="preserve">  - ค่าอาหารว่างและเครื่องดื่ม ผู้เข้าร่วมประชุม จำนวน  30 คน x 2 มื้อ x 25 บาท x 11 ชมรม          </t>
  </si>
  <si>
    <t xml:space="preserve">  - ค่าอาหารกลางวันผู้เข้าร่วมประชุม จำนวน  30 คน  x 70 บาท x 11 ชมรม</t>
  </si>
  <si>
    <t>1.3 รับคณะกรรมการประกวดประเภทจังหวัด TO BE NUMBER ONE ระดับประเทศ รอบลงพื้นที่เพื่อเก็บคะแนน</t>
  </si>
  <si>
    <t>เพื่อนำเสนอผลการดำเนินงาน ตามเกณฑ์การประกวด ประเภทจังหวัด TO BE NUMBER ONE</t>
  </si>
  <si>
    <t>คณะทำงานและสมาชิกชมรม TO BE NUMBER ONE จำนวน 85 คน</t>
  </si>
  <si>
    <t xml:space="preserve">  - ค่าอาหารว่างและเครื่องดื่ม ผู้เข้าร่วมการนำเสนอผลงานฯ จำนวน  85 คน x 1 มื้อ x 25 บาท     </t>
  </si>
  <si>
    <t xml:space="preserve">  - ค่าอาหารกลางวันผู้เข้าร่วมการนำเสนอผลงานฯ จำนวน  85 คน x 70 บาท x 1 มื้อ</t>
  </si>
  <si>
    <t xml:space="preserve"> - ค่าจ้างเหมาบริการจัดทำนิทรรศการ/ป้ายไวนิล/สื่อการนำเสนอผลการดำเนินงาน</t>
  </si>
  <si>
    <t>2.ประกวดจังหวัด อำเภอและชมรม TO BE NUMBER ONE ระดับประเทศ ประจำปี 2566</t>
  </si>
  <si>
    <t>2.1 จัดซื้อนิตยสาร TO BE NUMBER ONE</t>
  </si>
  <si>
    <t xml:space="preserve">เพื่อเผยแพร่ประชาสัมพันธ์กิจกรรมโครงการ TO BE NUMBER ONE </t>
  </si>
  <si>
    <t xml:space="preserve"> - อำเภอ TO BE NUMBER ONE 25 อำเภอ
 - ชมรม TO BE NUMBER ONE 25 ชมรม</t>
  </si>
  <si>
    <t xml:space="preserve"> - ค่าจัดซื้อนิตยสาร TO BE NUMBER ONE แบบถาวร จำนวน 50 รายx 200 บาท</t>
  </si>
  <si>
    <t xml:space="preserve">2.2 ประชุมเตรียมการนำเสนอผลการดำเนินงานประเภทจังหวัด อำเภอ และชมรม TO BE NUMBER ONE </t>
  </si>
  <si>
    <t>เพื่อเตรียมความพร้อมตามเกณฑ์ในการประกวดนำเสนอผลการดำเนินงานจังหวัด อำเภอและชมรม TO BE NUMBER ONE ระดับประเทศ ประจำปี 2566</t>
  </si>
  <si>
    <t>1. สมาชิกชมรม TO BE NUMBER ONE ที่ร่วมประกวดการแสดงประเภทจังหวัด จำนวน 15 คน 
2. คณะทำงานและสมาชิกประเภทอำเภอและชมรม จำนวน 88 คน 
รวมทั้งสิ้น 103 คน</t>
  </si>
  <si>
    <t xml:space="preserve">  - ค่าอาหารว่างและเครื่องดื่ม  จำนวน 103 คน x 1 มื้อ x 25 บาท     </t>
  </si>
  <si>
    <t xml:space="preserve">  - ค่าอาหารกลางวัน จำนวน 103 คน x 70 บาท x 1 มื้อ</t>
  </si>
  <si>
    <t xml:space="preserve">2.3 ค่าใช่จ่ายในการเดินทางเข้าร่วมประกวดระดับประเทศ 
ประเภทจังหวัด TO BE NUMBER ONE </t>
  </si>
  <si>
    <t>เพื่อเข้าร่วมกิจกรรมการประกวดจังหวัด อำเภอและชมรม TO BE NUMBER ONE ระดับประเทศประจำปี 2566</t>
  </si>
  <si>
    <t xml:space="preserve">  (1) นำเสนอผลการดำเนินงานโดยคณะกรรมการประเภทจังหวัด</t>
  </si>
  <si>
    <t>1.เพื่อนำเสนอผลการดำเนินงานตามเกณฑ์การประกวด ประเภทจังหวัด</t>
  </si>
  <si>
    <t>1 คณะกรรมการ/คณะทำงาน จังหวัด TO BE NUMBER ONE  เข้าร่วมกิจกรรม จำนวน 19 คน</t>
  </si>
  <si>
    <t xml:space="preserve"> - ค่าที่พักผู้บริหาร  1,600 บาท x 5 ห้อง  x 3 คืน 
 </t>
  </si>
  <si>
    <t xml:space="preserve"> - ค่าที่พักคณะทำงานและพนักงานขับรถ 1,600 บาท x 7 ห้อง x 4 คืน</t>
  </si>
  <si>
    <t xml:space="preserve"> - ค่าเบี้ยเลี้ยงระดับเชี่ยวชาญ 270 บาท x 5 คน x 3 วัน</t>
  </si>
  <si>
    <t xml:space="preserve"> - ค่าเบี้ยเลี้ยงเจ้าหน้าที่ 240 บาท x 11 คน x 5 วัน </t>
  </si>
  <si>
    <t xml:space="preserve"> - ค่าเบี้ยเลี้ยงพนักงานขับรถ 240 บาท x 3 คน x 5 วัน</t>
  </si>
  <si>
    <t xml:space="preserve"> - ค่าโดยสารเครื่องบินสำหรับผู้บริหาร จากจังหวัดอุบลราชธานี ถึง กรุงเทพมหานคร ไป-กลับ 5,000 บาท x 5 คน</t>
  </si>
  <si>
    <t xml:space="preserve"> - ค่าน้ำมันเชื้อเพลิงรถยนต์ทางราชการ 2 คัน และรถบรรทุก จำนวน 1 คัน รวม 3 คัน จากจังหวัดอุบลราชธานี ถึงกรุงเทพมหานคร ไป-กลับ</t>
  </si>
  <si>
    <t>2 จัดทำบูธผลการดำเนินงาน TO BE NUMBER ONE ประเภทจังหวัด</t>
  </si>
  <si>
    <t>เพื่อนำเสนอผลการดำเนินงานประเภทจังหวัด</t>
  </si>
  <si>
    <t xml:space="preserve"> - ค่าจัดจ้างทำบูธ นิทรรศการนำเสนอผลการดำเนินงาน ขนาด 3 x 3 เมตร </t>
  </si>
  <si>
    <t>3 การแสดงประเภทจังหวัดของสมาชิกชมรม TO BE NUMBER ONE</t>
  </si>
  <si>
    <t>สมาชิกชมรม TO BE NUMBER ONE ประเภทการแสดง จำนวน 30 คน</t>
  </si>
  <si>
    <t xml:space="preserve">  - ค่าเบี้ยเลี้ยงสมาชิก TO BE NUMBER ONE
 120 บาท x 30 คน x 5 วัน </t>
  </si>
  <si>
    <t xml:space="preserve"> - ค่าที่พักเหมาจ่ายสมาชิก 500 บาท x 30 คน x 4 คืน</t>
  </si>
  <si>
    <t xml:space="preserve"> (2)  นำเสนอผลการดำเนินงาน
ประเภทอำเภอและชมรม TO BE NUMBER ONE ประจำปี 2566</t>
  </si>
  <si>
    <t xml:space="preserve"> - ประเภทอำเภอ และประเภทชมรม จำนวน 11 ชมรม 198 คน </t>
  </si>
  <si>
    <t xml:space="preserve"> - เหมาจ่ายค่าที่พักสมาชิก TO BE NUMBER ONE 500 บาท x 18 คน x 4 คืนx 11 ชมรม 
 </t>
  </si>
  <si>
    <t xml:space="preserve"> - ค่าเบี้ยเลี้ยงสมาชิกชมรม TO BE NUMBER ONE 120 บาท x 18 คน x 5 วัน x 11 ชมรม</t>
  </si>
  <si>
    <t>โครงการพัฒนาและขยายเครือข่ายชมรม TO BE NUMBER ONE ในชุมชน (หมู่บ้าน)</t>
  </si>
  <si>
    <t>1.อบรมแกนนำขับเคลื่อนการพัฒนาชมรม TO BE NUMBER ONE ในชุมชน</t>
  </si>
  <si>
    <t xml:space="preserve">เพื่อสร้างทีมพี่เลี้ยงระดับอำเภอ ในขับเคลื่อนงาน TO BE NUMBER ONE </t>
  </si>
  <si>
    <t xml:space="preserve">แกนนำ TO BE NUMBER ONE ระดับอำเภอๆละ 5 คน จำนวน 125 คน </t>
  </si>
  <si>
    <t xml:space="preserve"> - ค่าอาหารว่างและเครื่องดื่ม ผู้เข้าร่วมอบรม  125 คนx 25 บาท x 2 มื้อ</t>
  </si>
  <si>
    <t xml:space="preserve"> - ค่าอาหารกลางวันผู้เข้าร่วมอบรม  125 x 70 บาท x 1 มื้อ</t>
  </si>
  <si>
    <t xml:space="preserve">2 เยี่ยมเสริมพลังการดำเนินงานชมรม TO BE NUMBER ONE ในชุมชน </t>
  </si>
  <si>
    <t xml:space="preserve"> - เพื่อประเมินการจัดตั้งชมรม TO BE NUMBER ONE ในชุมชน  
 - เพื่อค้นหาชมรมฯ ระดับชุมชนต้นแบบ</t>
  </si>
  <si>
    <t>จำนวน 25 อำเภอ</t>
  </si>
  <si>
    <t xml:space="preserve"> - เบี้ยเลี้ยงเจ้าหน้าที่จำนวน  6 คน x 120 บาทx 13 วัน</t>
  </si>
  <si>
    <t>โครงการประกวด TO BE NUMBER ONE TEEN DANCERCISE THAILAND CHAMPIONSHIP 2023 ปี 2566 (ระดับภาค)</t>
  </si>
  <si>
    <t>เพื่อพัฒนาศักยภาพเยาวชนให้มีความสามารถในด้านการเต้นมีกิจกรรมเชิงสร้างสรรค์ และส่งกิจกรรมเข้าร่วมประกวดในระดับภาคตะวันออกเฉียงเหนือ</t>
  </si>
  <si>
    <t>รุ่น Junier /รุ่น Pre-teenage/รุ่น Teenage จำนวน 4 รุ่น ( 5 ทีม) ทีมละ 15-20 คน รวม 90 คน</t>
  </si>
  <si>
    <t>ค่าที่พักเจ้าหน้าที่ 1,100 บาทx2 คืน x 2 ห้อง</t>
  </si>
  <si>
    <t>เหมาจ่ายค่าที่พักบุคคลภายนอก 500 บาท x 2 คืนx 5 คน</t>
  </si>
  <si>
    <t>ค่าเบี้ยเลี้ยงเจ้าหน้าที่ 240 บาท x 3 วัน x 4 คน</t>
  </si>
  <si>
    <t>ค่าเบี้ยเลี้ยงบุคคลภายนอก 120 บาท x 3 วัน x 5 คน</t>
  </si>
  <si>
    <t>ค่าน้ำมันเชื้อเพลิงรถตู้จาก จ.อุบลราชธานีถึงจ.นครราชสีมา ไป-กลับ 2 เที่ยว</t>
  </si>
  <si>
    <t>ส่งกิจกรรมเข้าร่วมประกวดในระดับประเทศประจำปี 2566</t>
  </si>
  <si>
    <t>จำนวนทีมที่ผ่านเข้ารอบระดับภาคสู่ระดับประเทศ</t>
  </si>
  <si>
    <t xml:space="preserve">ค่าที่พักผู้บริหารและเจ้าหน้าที่ 1,600 บาท x 4 ห้อง x 2 คืน </t>
  </si>
  <si>
    <t>หมายเหตุ หากไม่ผ่านระดับภาคตะวันออกเฉียงเหนือจะไม่ได้รับจัดสรรงบประมาณในรอบประเทศ</t>
  </si>
  <si>
    <t xml:space="preserve">ค่าเบี้ยเลี้ยงผู้บริหาร 270 บาท  x 2 คน x 3 วัน </t>
  </si>
  <si>
    <t xml:space="preserve">ค่าเบี้ยเลี้ยงเจ้าหน้าที่ 240 บาท      x 3 คน x 3 วัน </t>
  </si>
  <si>
    <t>เหมาจ่ายค่าที่พักสมาชิกผู้เข้าร่วมประกวด 500 บาท x 2 คืนx 11 คน</t>
  </si>
  <si>
    <t>ค่าเบี้ยเลี้ยงสมาชิกผู้เข้าร่วมประกวด      120 บาท x 3 วัน x 11 คน</t>
  </si>
  <si>
    <t>ค่าใช้จ่ายในการเดินทาง ผู้บริหาร/จนท. อุบลฯ-กรุงเทพฯ ไปกลับ 5 คน</t>
  </si>
  <si>
    <t>โครงการประกวด TO BE NUMBER ONE TEEN DANCERCISE THAILAND CHAMPIONSHIP 2024 ปีงบประมาณ 2567</t>
  </si>
  <si>
    <t xml:space="preserve"> - คัดเลือกทีมระดับจังหวัด เข้าประกวดระดับภาคและระดับประเทศ ปี 2567                             
-  จ้างเหมาครูผู้ฝึกสอนเพื่อพัฒนาศักยภาพของเด็กและเยาวชน ให้มีทักษะด้านการเต้น โดยการฝึกซ้อมทุกสัปดาห์ ในเดือน กรกฎาคม-กันยายน 2566</t>
  </si>
  <si>
    <t xml:space="preserve">รุ่น Junier /รุ่น Pre-teenage/รุ่น Teenage จำนวน 4 รุ่นๆละ 15-20 คน </t>
  </si>
  <si>
    <t>ฝึกซ้อม 10 สัปดาห์ๆละ 7 ชั่วโมง ๆละ 600 บาท เป็นเงิน 40,000/ทีม</t>
  </si>
  <si>
    <t>โครงการค่ายพัฒนาสมาชิก TO BE NUMBER ONE สู่ความเป็นหนึ่ง(TO BE NUMBER ONE CAMP)         ปีละ 2 ค่าย</t>
  </si>
  <si>
    <t xml:space="preserve">1 เพื่อสร้างกระแสนิยมและสร้างการมีส่วนร่วมในการดำเนินการป้องกันและแก้ไขปัญหายาเสพติดตามโครงการ TO BE NUMBER ONE 
2. เพื่อให้สมาชิก TO BE NUMBER ONE ได้พัฒนาศักยภาพตนเอง พัฒนาความฉลาดทางอารมณ์ สามารถอยู่ร่วมกับบุคคลอื่นได้อย่างมีความสุข      </t>
  </si>
  <si>
    <t xml:space="preserve">สมาชิก TO BE NUMBER ONE ในสถานศึกษา จำนวน 9 คน 2.เจ้าหน้าที่สำนักงานสาธารณสุขจังหวัดอุบลราชธานี จำนวน 4 คน </t>
  </si>
  <si>
    <t xml:space="preserve">ค่าเบี้ยเลี้ยงเจ้าหน้าที่            240 บาท x ๒ วัน x 2 คน x ๒ ครั้ง      </t>
  </si>
  <si>
    <t xml:space="preserve">ค่าเบี้ยเลี้ยงสมาชิก              120 บาท  x 2 วัน x 9 คน                 </t>
  </si>
  <si>
    <t xml:space="preserve">ค่าที่พักเจ้าหน้าที่              1,500 บาท x 2 คืน x 1 ห้อง                   </t>
  </si>
  <si>
    <t xml:space="preserve">ค่าน้ำมันเชื้อเพลิง จาก จังหวัดอุบลราชธานี ถึง
เดอะไพน์รีสอร์ท จังหวัดปทุมธานี ไป- กลับ 
6,000 บาท x 2 ครั้ง  
                                                        </t>
  </si>
  <si>
    <t>โครงการประกวดเยาวชนต้นแบบเก่งและดี TO BE NUMBER ONE ( TO BE NUMBER ONE IDOL) รุ่นที่ 13 ปี 2566</t>
  </si>
  <si>
    <t>คัดเลือกเยาวชนต้นแบบเก่งและดี TO BE NUMBER ONE  ส่งเข้าร่วมประกวดระดับภาคและประเทศ</t>
  </si>
  <si>
    <t xml:space="preserve"> - เพื่อพัฒนาศักยภาพของสมาชิก TO BE NUMBER ONE และสามารถเป็นเยาวชนต้นแบบแก่สมาชิกคนอื่นได้            
- เพื่อคัดเลือกตัวแทนเยาวชน ชาย-หญิง ระดับจังหวัด และส่งประกวดในระดับภาคตะวันออกเฉียงเหนือต่อไป</t>
  </si>
  <si>
    <t xml:space="preserve"> -จังหวัดคัดเลือกเยาวชนต้นแบบระดับจังหวัด ชาย   8 คน /หญิง 8 คน รวม     16 คน โดยให้เยาวชน  ส่งคลิปการร้องเพลง/เต้นผลการเรียน และความสามารถด้านอื่นๆ เข้าร่วมประกวดตามเกณฑ์ที่กำหนด          </t>
  </si>
  <si>
    <t>จ้างเหมาครูผู้ฝึกสอนเพื่อพัฒนาศักยภาพของเด็กและเยาวชน ให้มีทักษะด้านการร้องเพลง การเต้น และการพัฒนาบุคลิกภาพ โดยการฝึกซ้อมทุกสัปดาห์ ในเดือนธันวาคม 2565-มกราคม 2566</t>
  </si>
  <si>
    <t>เยาวชนต้นแบบที่ผ่านการคัดเลือกรอบที่1 รอบออดิชั่น จำนวน 16 คน เข้ารับการพัฒนาศักยภาพในการร้องเพลง /เต้น/บุคลิกภาพ และด้านอื่นๆ เพื่อเข้าร่วมประกวดในระดับภาคตะวันออกเฉียงเหนือ</t>
  </si>
  <si>
    <t>ฝึกซ้อม 7 สัปดาห์ๆละ 8 ชั่วโมง ๆละ 600 บาท</t>
  </si>
  <si>
    <t>เยาวชนต้นแบบระดับจังหวัดเข้าร่วมประกวดในระดับภาคตะวันออกเฉียงเหนือ</t>
  </si>
  <si>
    <t>ผู้เข้าร่วมกิจกรรม/            เจ้าหน้าที่ รวม 28 คน</t>
  </si>
  <si>
    <t xml:space="preserve">ค่าที่พักเจ้าหน้าที่ 1,200 x 4 ห้อง x 2 คืน </t>
  </si>
  <si>
    <t>เหมาจ่ายค่าที่พักผู้เข้าร่วมกิจกรรม 500 บาท x 2 คืน x 24 คน</t>
  </si>
  <si>
    <t>ค่าเบี้ยเลี้ยงเจ้าหน้าที่ 240 บาท x 6 คน x 3 วัน</t>
  </si>
  <si>
    <t>ค่าเบี้ยเลี้ยงผู้เข้าร่วมกิจกรรม 120  บาท x24 คน x 3 วัน</t>
  </si>
  <si>
    <t>ค่าน้ำมันเชื้อเพลิงรถตู้ 2 คัน จากจังหวัดอุบลราชธานีถึงจังหวัดนครราชสีมา ไป-กลับ คันละ 3,640 บาท x 2 คัน</t>
  </si>
  <si>
    <t>เพื่อส่งเยาวชนต้นแบบเข้าร่วมประกวดในระดับประเทศ</t>
  </si>
  <si>
    <t>หากไม่ผ่านระดับภาคตะวันออกเฉียงเหนือจะไม่ได้รับการจัดสรรงบประมาณในระดับประเทศ</t>
  </si>
  <si>
    <t>ค่าที่พักเจ้าหน้าที่ 1,600 บาท x 1 ห้อง x 2 คืน x 6 ครั้ง</t>
  </si>
  <si>
    <t>เหมาจ่ายค่าที่พักผู้เข้าร่วมกิจกรรม 500 บาท x 2 คืน x 5 คน x 6 ครั้ง</t>
  </si>
  <si>
    <t>ค่าเบี้ยเลี้ยงเจ้าหน้าที่ 240 บาท x 2 คน x 3 วัน x 6 ครั้ง</t>
  </si>
  <si>
    <t>ค่าเบี้ยเลี้ยงผู้เข้าร่วมกิจกรรม 120  บาท x 5 คน x 3 วัน x 6 ครั้ง</t>
  </si>
  <si>
    <t>NCD</t>
  </si>
  <si>
    <t>ค่าเดินทางเจ้าหน้าที่ที่เข้าร่วมกิจกรรม จากจังหวัดอุบลราชธานีถึงกรุงเทพมหานคร  จำนวน 6 ครั้ง</t>
  </si>
  <si>
    <t>โครงการสนับสนุนการควบคุมการบริโภคยาสูบและเครื่องดื่มแอลกอฮอล์ จังหวัดอุบลราชธานี ปี 2566</t>
  </si>
  <si>
    <t>สสส</t>
  </si>
  <si>
    <t>1.ประชุมคณะกรรมการควบคุมผลิตภัณฑ์ยาสูบจังหวัด</t>
  </si>
  <si>
    <t>เพื่อประชุมคณะกรรมการควบคุมผลิตภัณฑ์ยาสูบจังหวัด</t>
  </si>
  <si>
    <t>คณะกรรมการควบคุมผลิตภัณฑ์ยาสูบจังหวัด</t>
  </si>
  <si>
    <t>ค่าเบี้ยประชุมคณะกรรมการ (ประธาน)   1200 บาท x 1 คน x  3 ครั้ง</t>
  </si>
  <si>
    <t xml:space="preserve">ค่าเบี้ยประชุมคณะกรรมการ (รองประธาน) 1000 บาท x 1  คน x  3 ครั้ง </t>
  </si>
  <si>
    <t xml:space="preserve">ค่าเบี้ยประชุมคณะกรรมการ (กรรมการ)  1000 บาท x 20 คน x  3 ครั้ง </t>
  </si>
  <si>
    <t xml:space="preserve">ค่าเบี้ยประชุมคณะกรรมการ (ผู้ช่วยเลขานุการ)800 บาท x  2 คน x  3 ครั้ง </t>
  </si>
  <si>
    <t xml:space="preserve">ค่าอาหาร อาหารว่างและเครื่องดื่ม 150 บาท x 30 คน x  3ครั้ง </t>
  </si>
  <si>
    <t>2ประชุมคณะกรรมการควบคุมเครื่องดื่มแอลกอฮอล์จังหวัด</t>
  </si>
  <si>
    <t>เพื่อประชุมคณะกรรมการควบคุมเครื่องดื่มแอลกอฮอล์จังหวัด</t>
  </si>
  <si>
    <t>คณะกรรมการควบคุมเครื่องดื่มแอลกอฮอล์จังหวัด</t>
  </si>
  <si>
    <t xml:space="preserve">ค่าเบี้ยประชุมคณะกรรมการ (รองประธาน) 1000 บาท x 1 คน x 3 ครั้ง </t>
  </si>
  <si>
    <t xml:space="preserve">ค่าเบี้ยประชุมคณะกรรมการ (กรรมการ) 1000 บาท x  16 คน x 3 ครั้ง </t>
  </si>
  <si>
    <t xml:space="preserve">ค่าเบี้ยประชุมคณะกรรมการ (ผู้ช่วยเลขานุการ) 1000 บาท x 2 คน x 3 ครั้ง </t>
  </si>
  <si>
    <t xml:space="preserve">ค่าอาหาร อาหารว่างและเครื่องดื่ม 150 บาท x 25 คน x  3 ครั้ง </t>
  </si>
  <si>
    <t>3 ประชุมอนุกรรมการควบคุมผลิตภัณฑ์ยาสูบจังหวัด</t>
  </si>
  <si>
    <t xml:space="preserve">เพื่อประชุมอนุกรรมการควบคุมผลิตภัณฑ์ยาสูบจังหวั </t>
  </si>
  <si>
    <t>อนุกรรมการควบคุมผลิตภัณฑ์ยาสูบจังหวัด</t>
  </si>
  <si>
    <t xml:space="preserve">ค่าเบี้ยประชุมประธานคณะอนุกรรมการ (ประธาน) 1000 บาท x 1 คน x 4 ครั้ง </t>
  </si>
  <si>
    <t xml:space="preserve">ค่าเบี้ยประชุมรองประธานคณะอนุกรรมการ (รองประธาน)800 บาท x 1 คน x 4 ครั้ง </t>
  </si>
  <si>
    <t xml:space="preserve">ค่าเบี้ยประชุมคณะอนุกรรมการ (กรรมการ)500 บาท x  15 คน x 4 ครั้ง </t>
  </si>
  <si>
    <t xml:space="preserve">ค่าเบี้ยประชุมคณะอนุกรรมการ (เลขานุการ/ผู้ช่วยเลขานุการ)  500 บาท x 2 คน x 4 ครั้ง </t>
  </si>
  <si>
    <t xml:space="preserve">ค่าอาหาร อาหารว่างและเครื่องดื่ม 150 บาท x 25 คน x  4 ครั้ง </t>
  </si>
  <si>
    <t>4 ประชุมอนุกรรมการควบคุมเครื่องดื่มแอลกอฮอล์จังหวัด</t>
  </si>
  <si>
    <t xml:space="preserve">เพื่อประชุมอนุกรรมการควบคุมเครื่องดื่มแอลกอฮอล์จังหวัด </t>
  </si>
  <si>
    <t>5.ออกตรวจเฝ้าระวังบังคับใช้กฏหมาย พรบ.ควบคุมเครื่องดื่มแอลกอฮอล์ พ.ศ.2551 และ พรบ.ควบคุมผลิตภัณฑ์ยาสูบ พ.ศ.2560</t>
  </si>
  <si>
    <t>เพื่อ ออกตรวจเฝ้าระวังบังคับใช้กฏหมาย พรบ.ควบคุมเครื่องดื่มแอลกอฮอล์ พ.ศ.2551 และ พรบ.ควบคุมผลิตภัณฑ์ยาสูบ พ.ศ.2560</t>
  </si>
  <si>
    <t>ภาคีเครือข่าย ปกครอง ตำรวจ สาธารณสุข</t>
  </si>
  <si>
    <t>ค่าตอบแทนการปฏิบัติงาน/เบี้ยเลี้ยง ออกตรวจเฝ้าระวังบังคับใช้กฏหมายฯ</t>
  </si>
  <si>
    <t>6.ประชุมวางแผนในการดำเนินงานออกตรวจเฝ้าระวังบังคับใช้กฏหมายฯ</t>
  </si>
  <si>
    <t>เพื่อ ประชุมวางแผนในการดำเนินงานออกตรวจเฝ้าระวังบังคับใช้กฏหมายฯ</t>
  </si>
  <si>
    <t xml:space="preserve">ค่าอาหาร อาหารว่างและเครื่องดื่ม  150 บาท x 25 คน x  10 ครั้ง </t>
  </si>
  <si>
    <t>7.อบรมพัฒนาศักยภาพเจ้าหน้าที่ และฟื้นฟูความรู้ ตาม พรบ.ควบคุมเครื่องดื่มแอลกอฮอล์ 2551 และพระราชบัญญัติควบคุมผลิตภัณฑ์ยาสูบ พ.ศ.2560</t>
  </si>
  <si>
    <t>อบรมพัฒนาศักยภาพเจ้าหน้าที่ และฟื้นฟูความรู้ ตาม พรบ.ควบคุมเครื่องดื่มแอลกอฮอล์ 2551 และพระราชบัญญัติควบคุมผลิตภัณฑ์ยาสูบ พ.ศ.2560</t>
  </si>
  <si>
    <t xml:space="preserve">ค่าอาหาร อาหารว่างและเครื่องดื่ม  150 บาท x 50 คน x  4 ครั้ง </t>
  </si>
  <si>
    <t>8.ประชุมขับเคลื่อนการดำเนินงานการสร้างสิ่งแวดล้อมปลอดบุหรี่และเครื่องดื่มแอลกอฮอล์</t>
  </si>
  <si>
    <t>เพื่อขับเคลื่อนการดำเนินงานการสร้างสิ่งแวดล้อมปลอดบุหรี่และเครื่องดื่มแอลกอฮอล์</t>
  </si>
  <si>
    <t>ค่าอาหารกลางวัน อาหารว่างและเครื่องดื่ม  350 บาท X 100 X 2 ครั้ง</t>
  </si>
  <si>
    <t>ค่าตอบแทนวิทยากร 2 คน คนละ 3 ชั่วโมง X600 บาท X2 ครั้ง</t>
  </si>
  <si>
    <t>9. ประชุมขับเคลื่อนการดำเนินงานเข้าพรรษาปลอดเหล้าปลอดบุหรี่</t>
  </si>
  <si>
    <t>ขับเคลื่อนการดำเนินงานเข้าพรรษาปลอดเหล้าปลอดบุหรี่</t>
  </si>
  <si>
    <t xml:space="preserve">ค่าอาหาร อาหารว่างและเครื่องดื่ม  150 บาท x 50 คน x  2 ครั้ง </t>
  </si>
  <si>
    <t xml:space="preserve">10.ประชุมชี้แจงแนวทางสถานศึกษาระดับอาชีวะศึกษา สถานศึกษาปลอดบุหรี่และเครื่องดื่มแอลกอฮอล์ สำหรับผู้บริหารสถานศึกษา </t>
  </si>
  <si>
    <t>เพื่อชี้แจงแนวทางการดำเนินงาน ตามเกณฑ์การประเมินรับรอง</t>
  </si>
  <si>
    <t>ผู้บริหารสถานศึกษาอาชีวะศึกษา</t>
  </si>
  <si>
    <t xml:space="preserve">ค่าอาหารกลางวัน อาหารว่าง และเครื่องดื่ม  150 บาท x 70 คน x  10 ครั้ง  </t>
  </si>
  <si>
    <t>11. อบรมครูแกนนำเพื่อพัฒนาสถานศึกษาอาชีวะศึกษา ปลอดบุหรี่และเครื่องดื่มแอลกอฮอล์</t>
  </si>
  <si>
    <t>ครูแกนนำสถานศึกษาอาชีวะศึกษา</t>
  </si>
  <si>
    <t>ค่าอาหารกลางวัน อาหารว่างและเครื่องดื่ม  350 บาท X 70 X 1 ครั้ง</t>
  </si>
  <si>
    <t>ค่าตอบแทนวิทยากร 2 คน คนละ 2 ชั่วโมง X600 บาท</t>
  </si>
  <si>
    <t>12. ประชุมการดำเนินงานสถานศึกษษปลอดบุหรี่และเครื่องดื่มแอลกอฮอล์ และการประเมินรับรองตามเกณฑ์มาตรฐาน จำนวน 10 ครั้ง</t>
  </si>
  <si>
    <t xml:space="preserve">เพื่อชี้แจงการประเมินรับรองตามเกณฑ์มาตรฐาน </t>
  </si>
  <si>
    <t>สถานศึกษาที่ประเมินตนเองผ่านเกณ์ดีเด่น</t>
  </si>
  <si>
    <t xml:space="preserve">ค่าอาหารกลางวัน อาหารว่าง และเครื่องดื่ม  150 บาท x 20 คน x  10 ครั้ง  </t>
  </si>
  <si>
    <t>ค่าตอบแทนวิทยากร 3 คน คนละ 1 ชั่วโมง X600 บาท X10 ครั้ง</t>
  </si>
  <si>
    <t>13. อบรมแกนนำเยาวชนลดปัจจัยเสี่ยง (หลักสูตร 3 วัน 2 คืน)</t>
  </si>
  <si>
    <t>เพื่ออบรมแกนนำเยาวชนลดปัจจัยเสี่ยง</t>
  </si>
  <si>
    <t>นักเรียนแกนนำ</t>
  </si>
  <si>
    <t xml:space="preserve"> ค่าอาหาร จำนวน 125 คนx 50 บาท x 7 มื้อ</t>
  </si>
  <si>
    <t>ค่าอาหารว่าง และเครื่องดื่ม จำนวน 125 คนx 30 บาท x 6 มื้อ</t>
  </si>
  <si>
    <t>ค่าที่พัก จำนวน 125 คน x 100 บาท x 2 คืน</t>
  </si>
  <si>
    <t>ค่าห้องประชุม วันละ 7,000 บาท x 3 วัน</t>
  </si>
  <si>
    <t xml:space="preserve">14. อบรมฟื้นฟูการช่วยเลิกบุหรี่และเครื่องดื่มแอลกอออล์ในสถานบริการสาธารณสุข </t>
  </si>
  <si>
    <t xml:space="preserve">ฟื้นฟูการช่วยเลิกบุหรี่และเครื่องดื่มแอลกอออล์ในสถานบริการสาธารณสุข </t>
  </si>
  <si>
    <t>รพ.   สสอ.</t>
  </si>
  <si>
    <t xml:space="preserve">ค่าอาหาร อาหารว่าง และเครื่องดื่ม   400บาท x 70 คน x  2ครั้ง  </t>
  </si>
  <si>
    <t>ค่าที่พัก   1400 บาท x 35 ห้อง x 1 คืน</t>
  </si>
  <si>
    <t>ค่าตอบแทนวิทยากร ชั่วโมงละ 600 จำนวน 7 ชั่วโมง จำนวน 2 วัน</t>
  </si>
  <si>
    <t>ค่าเดินทางวิทยากร จำนวน 1 คน</t>
  </si>
  <si>
    <t xml:space="preserve">15 ประชุมชี้แจงแนวทางการดำเนินงานหมู่บ้านต้นแบบปลอดบุหรี่และเครื่องดื่มแอลกอออล์ </t>
  </si>
  <si>
    <t xml:space="preserve">เพื่อชี้แจงแนวทางการดำเนินงานหมู่บ้านต้นแบบปลอดบุหรี่และเครื่องดื่มแอลกอออล์ </t>
  </si>
  <si>
    <t>ชุมชนต้นแบบ</t>
  </si>
  <si>
    <t xml:space="preserve">ค่าอาหารกลางวัน อาหารว่าง และเครื่องดื่ม   150 บาท x 100 คน x  1ครั้ง  </t>
  </si>
  <si>
    <t xml:space="preserve">16 ประชุมติดตามผลการดำเนินงานหมู่บ้านต้นแบบปลอดบุหรี่และเครื่องดื่มแอลกอฮอล์ </t>
  </si>
  <si>
    <t xml:space="preserve">เพื่อติดตามผลการดำเนินงานหมู่บ้านต้นแบบปลอดบุหรี่และเครื่องดื่มแอลกอฮอล์ </t>
  </si>
  <si>
    <t>ชุมชนต้นแบบ จำนวน 7 แห่ง</t>
  </si>
  <si>
    <t xml:space="preserve">ค่าอาหารกลางวัน อาหารว่าง และเครื่องดื่ม  150 บาท x 30 คน x  7 ครั้ง  </t>
  </si>
  <si>
    <t xml:space="preserve">17 ประชุมสรุปผลการดำเนินงานและแลกเปรียนเรียนรู้หมู่บ้านต้นแบบปลอดบุหรี่และเครื่องดื่มแอลกอฮอล์ </t>
  </si>
  <si>
    <t>สรุปผลการดำเนินงานและแลกเปรียนเรียนรู้หมู่บ้านต้นแบบปลอดบุหรี่แล</t>
  </si>
  <si>
    <t>ชุมชนต้นแบบ และชมชนที่สนใจ</t>
  </si>
  <si>
    <t xml:space="preserve">ค่าอาหารกลางวัน อาหารว่าง และเครื่องดื่ม  350 บาท x 100 คน x 1 ครั้ง </t>
  </si>
  <si>
    <t>ค่าวัสดุ อุปกรณ์สำนักงาน /ค่าถ่ายเอกสาร</t>
  </si>
  <si>
    <t>บริหาร</t>
  </si>
  <si>
    <t>ค่าตรวจสอบบัญชี และรับรองรายงานทางการเงิน 5,000 บาท x 3 งวด</t>
  </si>
  <si>
    <t>โครงการตอบโต้ภัยพิบัติ กรณีเกิดภัยพิบัติทั้งในและต่างประเทศ</t>
  </si>
  <si>
    <t>เอกชัย จรูญเนตร</t>
  </si>
  <si>
    <t>กองทุน EMS</t>
  </si>
  <si>
    <t xml:space="preserve">ตอบโต้ภัยพิบัติ 
กรณีเกิดภัยพิบัติทั้งในและต่างประเทศ  *กรณีเกิดภัยพิบัติ
</t>
  </si>
  <si>
    <t>เพื่อเตรียมความพร้อมทีมในการออกปฏิบัติการตอบโต้ภัยพิบัติ และ เปิดโรงพยาบาลสนามในพื้นที่เกิดเหตุ</t>
  </si>
  <si>
    <t>พืนทีเกิดภัยพิบัติ ในประเทศไทยและต่างประเทศ</t>
  </si>
  <si>
    <t>1.ค่าตอบแทนนอกเวลาการปฏิบัติงานของ จนท. EOC</t>
  </si>
  <si>
    <t>2.เบี้ยเลี้ยง ปฏิบัติงานพื้นที่ภัยพิบัติ</t>
  </si>
  <si>
    <t>3.ค่าวัสดุอุปกรณ์เครื่องยังชีพ</t>
  </si>
  <si>
    <t>4.ค่าน้ำมันเชื้อเพลิงพาหนะ</t>
  </si>
  <si>
    <t>5.วัสดุสำนักงาน</t>
  </si>
  <si>
    <t>6. อาหารไม่ครบมื้อ 20 คน 20 มื้อ</t>
  </si>
  <si>
    <t>7.อาหารว่างและเครื่องดื่มประชุม EOC 20 คน 20 มื้อ</t>
  </si>
  <si>
    <t>8.ประกันชีวิตทีมตอบโต้ (ขอสนับสนุนจากมูลนิธิฯ)</t>
  </si>
  <si>
    <t>โครงการจ้างพนักงานกระทรวงสาธารณสุข (พกส.) สนับสนุนปฏิบัติการด้านการแพทย์ฉุกเฉิน  ปีงบประมาณ 2566</t>
  </si>
  <si>
    <t>โครงการจ้างพนักงานกระทรวงสาธารณสุข (พกส.) สนับสนุน
ปฏิบัติการด้านการแพทย์ฉุกเฉิน  ปีงบประมาณ 2566</t>
  </si>
  <si>
    <t>1. เพื่อจ้างพนักงานกระทรวงสาธารณสุข (พกส.)</t>
  </si>
  <si>
    <t>พนักงานกระทรวงสาธารณสุข (พกส.)  จำนวน  5 คน</t>
  </si>
  <si>
    <t>ค่าจ้างรายเดือน 5 คน รวมเดือนละ 58,700 บาท x 12 เดือน</t>
  </si>
  <si>
    <t>ค่าประกันสังคม 5 คน รวมเดือนละ 2,935 บาท x 12 เดือน</t>
  </si>
  <si>
    <t>ค่ากองทุนเลี้ยงชีพ 5 คน รวมเดือนละ 1,174 บาท x 12 เดือน</t>
  </si>
  <si>
    <t>โครงการ พัฒนาศักยภาพทีมปฏิบัติการแพทย์ ในการตอบโต้ภาวะฉุกเฉินระดับอำเภอ (MERT &amp; Mini MERT) ประจำปี 2566</t>
  </si>
  <si>
    <t>กิจกรรมที่ 1
อบรมเชิงปฏิบัติการพัฒนาศักยภาพทีมตอบโต้ภาวะฉุกเฉินระดับอำเภอ Mini MERT</t>
  </si>
  <si>
    <t>1. เพื่อเตรียมความพร้อมทีมตอบโต้สาธารณภัย ทั้งด้านองค์ความรู้วิชาการและทักษะ 
2. เพื่อพัฒนาระบบบริหารจัดการภาวะฉุกเฉินด้านการแพทย์และสาธารณสุข
3. เพื่อสร้างทีม ทีมปฏิบัติการฉุกเฉินทางการแพทย์ Mini MERT ในระดับอำเภอ</t>
  </si>
  <si>
    <t xml:space="preserve">  -บุคลากรการแพทย์จากโรงพยาบาลละ 1 ทีมๆละ 5 คน  จาก 25 โรงพยาบาล รวม 125 คน โดยจัดเป็น 2 รุ่นๆละ 1 วัน
     -รุ่นที่1  60 คน (โซน 1+2 )
     -รุ่นที่ 2  65 คน (โซน 3+4 )
 -คณะวิทยากร รุ่นละ 15 คน รวม 30 คน
</t>
  </si>
  <si>
    <t>1. ค่าอาหารว่างและเครื่องดื่ม 150 คน x 25 บาท x 2 มื้อ</t>
  </si>
  <si>
    <t>2. ค่าอาหารกลางวัน 150 คน x 70บาท</t>
  </si>
  <si>
    <t>3. ค่าตอบแทนวิทยากร บรรยาย 2 คนX 2 ชม.X600 บาท  X 2 รุ่น</t>
  </si>
  <si>
    <t xml:space="preserve">4. ค่าตอบแทนวิทยากรกลุ่ม 6 กลุ่มๆละ 2 คน 2 ชมๆละ 600 บ  2 วัน 
 </t>
  </si>
  <si>
    <t>กิจกรรมที่ 2
อบรมหลักสูตรทีมพัฒนาปฏิบัติการฉุกเฉินทางการแพทย์ระดับตติยภูมิ ( ทีม MERT ) ภาคสนาม</t>
  </si>
  <si>
    <t xml:space="preserve">1. เพื่อส่งทีม MERT ระดับจังหวัด ฝึกภาคสนามตามหลักสูตรกรมการแพทย์ เพื่อเตรียมความพร้อมทีมตอบโต้สาธารณภัย ทั้งด้านองค์ความรู้วิชาการและทักษะ </t>
  </si>
  <si>
    <t>ทีม MERT ที่ผ่านการอบรมภาคทฤษฏีจากกรมการแพทย์ จำนวน 18 คน 3 วัน</t>
  </si>
  <si>
    <t>1. ค่าเบี้ยเลี้ยง 18 คน x 240 x 5 วัน</t>
  </si>
  <si>
    <t>2. ค่าจ้างเหมารถตู้ 1800 บาท x 5 วัน x 1 คัน</t>
  </si>
  <si>
    <t>3. ค่าน้ำมันเชื้อเพลิง</t>
  </si>
  <si>
    <t>4. ค่าห้องพัก 9 ห้องๆละ 1400 บาท  2 คืน</t>
  </si>
  <si>
    <t>โครงการพัฒนาศักยภาพอาสาสมัครฉุกเฉินการแพทย์ (อฉพ.) หลักสูตรการปฐมพยาบาลและช่วยปฏิบัติการการแพทย์ขั้นพื้นฐาน(40ชั่วโมง) ปี 2566</t>
  </si>
  <si>
    <t xml:space="preserve">กองทุน EMS </t>
  </si>
  <si>
    <t>จัดอบรม ใช้วิธีการลงทะเบียน  คนละ 2,000 บาทจำนวน 4 วัน 3 คืน จัดอบรมและพักค้างคืนที่ ค่ายทหาร มทบ.๒๒  เพื่อจัดอบรมให้เจ้าหน้าที่ของหน่วยปฎิบัติการที่มี</t>
  </si>
  <si>
    <t>เพื่อพัฒนาทักษะอาสาสมัครฉุกเฉินการแพทย์ให้สามารถปฏิบัติงานได้อย่างมีประสิทธิภาพ</t>
  </si>
  <si>
    <t xml:space="preserve">  - อาสาสมัครฉุกเฉินการแพทย์จำนวน 4 รุ่นรุ่นละ 50 คนรวม 200 คน
 - ผู้เข้าอบรมลงทะเบียน คนละ 2,000 บาท
  - จัดอบรมที่ค่ายสิงห์ดำ</t>
  </si>
  <si>
    <t xml:space="preserve"> 1. ค่าอาหาร 200 คน x 70 บ.x11 มื้อ</t>
  </si>
  <si>
    <t>2. ค่าอาหารว่างและเครื่องดื่ม 200 คน .x25 บ.x8 มื้อ</t>
  </si>
  <si>
    <t>3.ค่าที่พักผู้เข้าอบรม ในค่ายทหาร 200 คนx 120 บาท x3คืน</t>
  </si>
  <si>
    <t>4.ค่าตอบแทนวิทยากร 
รุ่นละ 24,000 บาท x 4 รุ่น
    4.1 ค่าวิทยากรบรรยายเดี่ยว  1 คน X 600บาท X 21 ชั่วโมง Xจำนวน 4รุ่น = 50,400 บาท
    4.2 ค่าวิทยากรผู้ช่วยฝึกปฏิบัติ  จำนวน 2 คน X300 บาท X19 ชั่วโมง X จำนวน 4 รุ่น= 45,600 บาท</t>
  </si>
  <si>
    <t>5.ค่าสถานที่และห้องประชุมวันละ 
2,000 บาทX4 วันx 4รุ่น</t>
  </si>
  <si>
    <t xml:space="preserve"> 6.ค่าถ่ายเอกสารคู่มือหลักสูตรฯ </t>
  </si>
  <si>
    <t>โครงการ พัฒนาการดำเนินงานป้องกันการจมน้ำ
เพื่อสนับสนุนให้มีการดำเนินงานตามมาตรการ
ทีมผู้ก่อการดี (Merit Maker ) ประจำปี  2566</t>
  </si>
  <si>
    <t>1.1 รณรงค์และซ้อมแผนช่วยเหลือผู้ประสบภัยทางน้ำ
อย่างน้อยปีละ 1 ครั้ง ในพื้นที่เสี่ยง</t>
  </si>
  <si>
    <t>เพื่อสนับสนุนให้พื้นที่สร้างทีมผู้ก่อการดีและสร้างภาคีเครือข่ายและใช้ทรัพยากรร่วมกันในพื้นที่</t>
  </si>
  <si>
    <t>กลุ่มเป้าหมาย คือ
อบต. ผู้นำชุมชน ครู
นักเรียนกลุ่มเป้าหมาย ปภ
เจ้าหน้าที่สาธารณสุข ในอำเภอที่มีความเสี่ยง</t>
  </si>
  <si>
    <t>ให้อำภอดำเนินการ</t>
  </si>
  <si>
    <t>1.2 .เตรียมเพื่อรับการประเมินทีมผู้ก่อการดี (Merit Maker )
ระดับเขตสุขภาพและระดับประเทศ</t>
  </si>
  <si>
    <t>1.เพื่อกระตุ้นให้มีการดำเนินงานตามกลไกทีมผู้ก่อการดีและมีการพัฒนาอย่างต่อเนื่อง</t>
  </si>
  <si>
    <t>ผู้รับผิดชอบงาน ระดับอำเภอ
และทีมผู้ก่อการดีทุกกลุ่มเป้าหมาย จำนวน 3 ครั้งๆละ 50 คน</t>
  </si>
  <si>
    <t>1.ค่าอาหารกลางวัน 50คนx 3 ครั้ง x 70 บาท x  1 มื้อ)</t>
  </si>
  <si>
    <t>2.ค่าอาหารว่างและเครื่องดื่ม 50 คนx 3 ครั้ง x 25 บาท x  2 มื้อ)</t>
  </si>
  <si>
    <t>1.3 ประเมินติดตามเยี่ยมอำเภอที่มีความเสี่ยงสูง</t>
  </si>
  <si>
    <t>เพื่อกระตุ้นให้พ้นที่มีการดำเนินงานตามมาตรการทีมผู้ก่อการดี (Merit Maker )</t>
  </si>
  <si>
    <t>ผู้รับผิดชอบงานป้องกันการเสียชีวิตจากการจมน้ำของเด็กอายุน้อยกว่า 15 ปีระดับจังหวัด และระดับแม่โซน จำนวน 6  คน จำนวน 8 ครั้ง</t>
  </si>
  <si>
    <t xml:space="preserve">ค่าเบี้ยเลี้ยง 120 บาทx 6 คน x 2 ครั้ง </t>
  </si>
  <si>
    <t>โครงการพัฒนาศักยภาพผู้ประเมินคุณภาพและตรวจสอบการเบิกจ่ายค่าชดเชยการบริการในระบบการแพทย์ฉุกเฉิน(Auditor EMS ) ปี 2566</t>
  </si>
  <si>
    <t>ประชุมเชิงปฏิบัติการการประเมินคุณภาพและแนวทางการเบิกจ่ายค่าชดเชยบริการ</t>
  </si>
  <si>
    <t xml:space="preserve">เพื่อให้การเบิกจ่ายค่าชดเชยบริการอย่างถูกต้อง ครบถ้วน ทันเวลา </t>
  </si>
  <si>
    <t xml:space="preserve">ผู้รับผิดชอบการบันทึกข้อมูล    ปฎิบัติการของทุกหน่วยหน่วยละ 1 คนจัด 2 รุ่นรุ่นละ 1 วัน  ผู้เข้าอบรมรุ่นละ 80 คน รวม 160 คน  </t>
  </si>
  <si>
    <t>1.ค่าอาหารกลางวัน 160  x 70 บาท x  1 มื้อ</t>
  </si>
  <si>
    <t>2.ค่าอาหารว่างและเครื่องดื่ม 160 คน  x 25 บาท x  2 มื้อ</t>
  </si>
  <si>
    <t xml:space="preserve">โครงการฝึกสอนการช่วยชีวิตขั้นพื้นฐานและใช้เครื่องกระตุกหัวใจไฟฟ้าอัตโนมัติ (AED) </t>
  </si>
  <si>
    <t>กิจกรรมที่ 1 ฝึกอบรมการช่วยชีวิตพื้นฐานและการใช้เครื่อง AED ให้กับครู ก.ของแต่ละอำเภอ</t>
  </si>
  <si>
    <t>เพื่อสร้าง ครู ก.สสอ. ที่.มีความรู้ความเข้าใจและสามารถถ่ายทอดความรู้ให้กับ ครู ข. ( รพ.สต) ในพื้นที่รับผิดชอบให้มีความรู้ความสามารถถ่ายทอดความรู้ให้กับประชาชนต่อไป</t>
  </si>
  <si>
    <t>เจ้าหน้าที่ ของอำเภอ อำเภอละ 1 ทีม ทีมละ 3 คน และผู้รับผิดชอบงานของ สสจ. รวม 80 คน              จัดอบรมจำนวน 1 วัน</t>
  </si>
  <si>
    <t>1.ค่าอาหารกลางวัน 80 คน x70 บาท x  1 มื้อ</t>
  </si>
  <si>
    <t>2.ค่าอาหารว่างและเครื่องดื่ม 80 คน x 25 บาท x  2มื้อ</t>
  </si>
  <si>
    <t>โครงการประชุมเชิงปฏิบัติการพัฒนาเครือข่ายระบบบริการการแพทย์ฉุกเฉิน จังหวัดอุบลราชธานี</t>
  </si>
  <si>
    <t>1 ประชุมหัวหน้าทีมผู้ดูแลหน่วยการแพทย์ฉุกเฉิน จาก อปท.</t>
  </si>
  <si>
    <t>1. สร้างความรู้และความเข้าในในการพัฒนาหน่วย EMS ตามแนวทางใหม่
2 ขับเคลื่อนการพัฒนาหน่วยในระดับตำบล</t>
  </si>
  <si>
    <t>1.ผู้ดูแลหน่วยการแพทย์ฉุกเฉิน จาก อปถ. 132 คน
2. เจ้าหน้าที่ ผู้เกี่ยวข้อง จำนวน 18 คน
รวม 150 คน</t>
  </si>
  <si>
    <t xml:space="preserve">1.ค่าอาหารกลางวัน 150 คน x 70 บาท x 1 มื้อ </t>
  </si>
  <si>
    <t xml:space="preserve">2.ค่าอาหารว่างและเครื่องดื่ม 150 คนx 25 บาท x 2 มื้อ </t>
  </si>
  <si>
    <t>3 วิทยากรจาก สพฉ 1 คน บรรยาย 2 ชั่วโมงๆละ 600 บ</t>
  </si>
  <si>
    <t xml:space="preserve">4 ค่าเดินทางวิทยากร </t>
  </si>
  <si>
    <t>5.ค่าที่พักวิทยากร 1200</t>
  </si>
  <si>
    <t>2 มหกรรมรวมพลคนกู้ชีพ</t>
  </si>
  <si>
    <t xml:space="preserve">1.เพื่อเป็นเวทีแลกเปลี่ยนเรียนการดำเนินงานบริการการแพทย์ฉุกเฉิน 
2.สร้างเครือข่ายการดำเนินงานชมรมกู้ชีพจังหวัดอุบลราชธานี </t>
  </si>
  <si>
    <t xml:space="preserve">EMR + EMT ในระบบ EMS 
รวม 400 คน </t>
  </si>
  <si>
    <t>1.ค่าอาหารเที่ยง 300 คนx 300 บาทx1วัน</t>
  </si>
  <si>
    <t xml:space="preserve">2.ค่าอาหารว่างและเครื่องดื่ม 400 คนx 50 บาท x 2 มื้อ </t>
  </si>
  <si>
    <t>3.ค่าตอบแทนวิทยากรบรรยายเดี่ยว  2 ชั่วโมง x 600 บ</t>
  </si>
  <si>
    <t>4 ค่าวิทยากรบรรยายกลุ่ม 5 คน 2 ชมๆละ 600 บ</t>
  </si>
  <si>
    <t>4.ค่าที่พักวิทยากร 1200</t>
  </si>
  <si>
    <t>5.ค่าโดยสารเครื่องบินวิทยากร 1 คน X  1 ครั้ง (ไป-กลับ)</t>
  </si>
  <si>
    <t>6. ค่าตอบแทนการนำเสนอบูธวิชากรและผลงาน 5 บูธ</t>
  </si>
  <si>
    <t xml:space="preserve">ประชุมพิจารณาจัดพื้นที่บริการหน่วย EMS </t>
  </si>
  <si>
    <t xml:space="preserve"> จัดประชุมพื้นที่ให้บริการ</t>
  </si>
  <si>
    <t>1.เพื่อพัฒนาการบริหารจัดการพื้นที่รับผิดชอบของหน่วยบริการ</t>
  </si>
  <si>
    <t xml:space="preserve">จัดประชุม 5 ครั้ง ๆละ 20 คน </t>
  </si>
  <si>
    <t>ค่าอาหารว่างและเครื่องดื่ม 20 คนx 25 บาทx  5 ครั้ง</t>
  </si>
  <si>
    <t>ค่าอาหารกลางวัน 20 คนx 70 บาทx 5 ครั้ง</t>
  </si>
  <si>
    <t>โครงการอบรมพัฒนาศักยภาพผู้ปฎิบัติการฉุกเฉินสำหรับการปลี่ยนผ่านผู้ปฎิบัติการสาขาอาสามัครฉุกเฉินการแพทย์</t>
  </si>
  <si>
    <t>จัดอบรมวิชาการและฝึกปฏิบัติให้อาสาสมัครฉุกเฉินการแพทย์ตามหลักสูตรเพิ่มเติมตามกฎหมายใหม่ ประกาศ กพฉ. มาตรา 29(1) และ 29(2)</t>
  </si>
  <si>
    <t xml:space="preserve">เพื่อการเปลี่ยนผ่านผู้ปฎิบัติการตามข้อบังคับเดิมสู่การเป็นผู้ปฎิบัติการตามข้อบังคับใหม่ </t>
  </si>
  <si>
    <t>อาสาสมัครฉุกเฉินการแพทย์ในระบบ EMS จัดอบรมจำนวน 3 รุ่นๆละ 2 วัน จำนวนผู้เข้าอบรมรุ่นละ 70 คน รวม 210 คน</t>
  </si>
  <si>
    <t xml:space="preserve"> 1. ค่าอาหาร 210 คน x 70 บ.x4มื้อ</t>
  </si>
  <si>
    <t>2. ค่าอาหารว่างและเครื่องดื่ม 210 คน .x25 บ.x4 มื้อ</t>
  </si>
  <si>
    <t>3.ค่าที่พักผู้เข้าอบรม ในค่ายทหาร 210 คนx 120 บาท x1คืน</t>
  </si>
  <si>
    <t>4.ค่าสถานที่และห้องประชุมวันละ 
2,000 บาทX2 วันx 3 รุ่น</t>
  </si>
  <si>
    <t>5.ค่าตอบแทนวิทยากร 
รุ่นละ 7,200 บาท x 3 รุ่น
    4.1 ค่าวิทยากรบรรยายเดี่ยว  1 คน X 600บาท X 8 ชั่วโมง Xจำนวน 3รุ่น = 14,400 บาท
    4.2 ค่าวิทยากรผู้ช่วยฝึกปฏิบัติ  จำนวน 2 คน X300 บาท X 4 ชั่วโมง X จำนวน 3 รุ่น= 7,200 บาท</t>
  </si>
  <si>
    <t>โครงการ ประชุมผู้รับผิดชอบงานการแพทย์ฉุกเฉิน จังหวัดอุบลราชธานี ประจำปี 2566</t>
  </si>
  <si>
    <t xml:space="preserve">1. เพื่อชี้แจงนโยบายการพัฒนาระบบบริการการแพทย์ฉุกเฉิน,ชี้แจงตัวชี้วัด,RANKING 
2. เพื่อติดตามการผลดำเนินงานตามตัวชีวัด ในระบบบริการการแพทย์ฉุกเฉิน และหาแนวทางแก้ไขปัญหาจากการปฏิบัติงานร่วมกัน 
</t>
  </si>
  <si>
    <t>หัวหน้า ER ทุก รพ. 
หรือผู้รับผิดชอบ รพ.ละ 2 คน = 50 คน
(ไตรมาสละ 1 ครั้ง รวม 3 ครั้ง )</t>
  </si>
  <si>
    <t>1. ค่าอาหารว่างและเครื่องดื่ม 50 คน x 25บาท x 1 มื้อ x 3 ครั้ง</t>
  </si>
  <si>
    <t>2. ค่าอาหารกลางวัน 50 คน x 70บาท x 1 มื้อ X 3 ครั้ง</t>
  </si>
  <si>
    <t xml:space="preserve">โครงการประชุมวิชาการ เพิ่มประสิทธิภาพในการ ดูแลผู้ป่วยวิกฤต จังหวัดอุบลราชธานี ( case conference ) ประจำปี 2566 </t>
  </si>
  <si>
    <t>เพื่อพัฒนาองค์ความรู้ด้านการแพทย์ฉุกเฉิน เป็นเวทีแลกเปลี่ยนเรียนรู้ทางวิชาการ ทบทวนสาเหตุการเสียชีวิตในระบบบริการการแพทย์ฉุกเฉิน ปัญหาอุปสรรค ข้อเสนอแนะ เพื่อให้เกิดแนวทางในการแก้ปัญหา</t>
  </si>
  <si>
    <t>แพทย์, พยาบาล ,หัวหน้า ER ทุก รพ. หรือผู้ที่มีส่วนเกี่ยวข้อง  รพ.ละ 2 คน = 50 คน</t>
  </si>
  <si>
    <t xml:space="preserve">1. ค่าอาหารว่างและเครื่องดื่ม 50 คน x 25 บาท x 2 มื้อ </t>
  </si>
  <si>
    <t xml:space="preserve">2. ค่าอาหารกลางวัน 50 คน x 70 บาท x 1 มื้อ </t>
  </si>
  <si>
    <t>3. วิทยากร 1 คน x 2 ชม.ๆละ 600 บาท</t>
  </si>
  <si>
    <t>โครงการประชุมวิชาการ การดูแลผู้บาดเจ็บก่อนถึงโรงพยาบาล จังหวัดอุบลราชธานี ประจำปี 2566</t>
  </si>
  <si>
    <t>1. เพื่อฟื้นฟูความรู้พัฒนาทักษะการดูแลผู้บาดเจ็บก่อนถึงโรงพยาบาล สำหรับบุคลากรการแพทย์ฉุกเฉิน 
2. เพื่อให้การดูแลผู้บาดเจ็บเป็นไปในทิศทางเดียวกันแบบไร้รอยต่อ</t>
  </si>
  <si>
    <t>(หลักสูตร 2 วัน)
จพ.เวชกิจฉุกเฉิน จำนวน 65 คน</t>
  </si>
  <si>
    <t>1. ค่าอาหารว่างและเครื่องดื่ม 65 คน x 25 บาท x 4 มื้อ</t>
  </si>
  <si>
    <t>2. ค่าอาหารกลางวัน 65 คน x 70บาท x 2 มื้อ</t>
  </si>
  <si>
    <t>3. ค่าตอบแทนวิทยากร บรรยาย 4 ชม.</t>
  </si>
  <si>
    <t>4. ค่าตอบแทนวิทยากร กลุ่ม 3 กลุ่มๆละ 2 คน 5 ชม.</t>
  </si>
  <si>
    <t>5. ค่าวัสดุอุปกรณ์</t>
  </si>
  <si>
    <t>โครงการประชุมเชิงปฎิบัติการ การฟื้นฟูสมรรรถภาพคนพิการ โดยมีชุมชนเป็นฐาน (CBR:Community Base-Rehabilitation For People with Disability)</t>
  </si>
  <si>
    <t>เพื่อส่งเสริมการเข้าถึงบริการฟื้นฟูสมรรถภาพในชุมชน ของกลุ่มคนพิการ โดยการมีส่วนร่วมของชุมชน</t>
  </si>
  <si>
    <t xml:space="preserve">คนพิการทุกประเภทความพิการ จังหวัดอุบลราชธานี และจิตอาสาผู้ดูแลคนพิการ </t>
  </si>
  <si>
    <t>งบ CUP / กองทุนตำบล
*อำเภอดำเนินการ</t>
  </si>
  <si>
    <t>หน่วยบริการทุกแห่ง</t>
  </si>
  <si>
    <t>โครงการฟื้นฟูสมรรถภาพทางการแพทย์ในสถานบรืการและบริการเชิงรุกในชุมชน ได้แก่ กายภาพบำบัด จิตบำบัด พฤติกรรมบำบัด กิจกรรมบำบัด การประเมินและแก้ไขการพูด Early Intervention การฟื้นฟูการเห็น การฟื้นฟูการได้ยิน   และ Phenal Block</t>
  </si>
  <si>
    <t xml:space="preserve">เพื่อพัฒนาระบบบริการฟื้นฟูสมรรถภาพทางการแพทย์ในสถานบริการและบริการเชิงรุกในชุมชน </t>
  </si>
  <si>
    <t>คนพิการทุกประเภทความพิการ ตามสิทธิ ท74</t>
  </si>
  <si>
    <t>งบ กสต. (คณะกรรมการสภาตำบล)
*อำเภอดำเนินการ     กายภาพบำบัด จิตบำบัด พฤติกรรมบำบัด กิจกรรมบำบัด การประเมินและแก้ไขการพูด Early Intervention การฟื้นฟูการเห็น การฟื้นฟูการได้ยิน   และ Phenal Block เบิกได้ตามเกณฑ์ที่ สปสช.กำหนด"</t>
  </si>
  <si>
    <t>กองทุนฟื้นฟูฯ</t>
  </si>
  <si>
    <t>โครงการสนับสนุนกายอุปกรณ์และเครื่องช่วยความพิการที่เหมาะสมสำหรับคนพิการ</t>
  </si>
  <si>
    <t>เพื่อการสนับสนุนกายอุปกรณ์และเครื่องช่วยความพิการที่เหมาะสมสำหรับคนพิการ</t>
  </si>
  <si>
    <t xml:space="preserve">คนพิการทางการเคลื่อนไหวและผู้ป่วย Subacuteในจังหวัดอุบลราชธานี </t>
  </si>
  <si>
    <t>งบกองทุนฟื้นฟูฯ สปสช.
*อำเภอดำเนินการ 
จ่ายกายอุปกรณ์และเครื่องช่วยความพิการ ตามกรอบ สปสช.จำนวน 76 รายการ  จ่ายตามเบิก ไม่เกินราคากลางที่ สปสช.กำหนด"</t>
  </si>
  <si>
    <t xml:space="preserve">โครงการพัฒนาระบบสุขภาพปฐมภูมิเข้มแข็ง จังหวัดอุบลราชธานี </t>
  </si>
  <si>
    <t>โสมนัสสา/ภูริภัทร</t>
  </si>
  <si>
    <t>1.1 การประชุมผู้รับผิดชอบงานระบบสุขภาพปฐมภูมิระดับอำเภอ</t>
  </si>
  <si>
    <t>1.เพื่อชี้แจงแนวทางการขับเคลื่อนงานประจำปี และกำหนดกลวิธีในการขับเคลื่องานประจำปีงบประมาณร่วมกัน</t>
  </si>
  <si>
    <t xml:space="preserve">สสอ., รพ. และผู้รับผิดชอบงาน พชอ.ระดับอำเภอและภาคีเครือข่ายที่เกี่ยวข้อง (60 คน) </t>
  </si>
  <si>
    <t>Tele Conf.</t>
  </si>
  <si>
    <t>2.เพื่อกำกับ ติดตาม และสนับสนุนการขับเคลื่อนงาน</t>
  </si>
  <si>
    <t>*** On site 2 ครั้ง  On line 2 ครั้ง</t>
  </si>
  <si>
    <t>ค่าอาหารกลางวัน 60 คนจำนวน 2  มื้อๆละ 70 บาท จำนวน 2 ครั้ง</t>
  </si>
  <si>
    <t>1.2 ประชุมกลุ่มแพทย์เวชศาสตร์ครอบครอบและการพิจารณาขอขึ้นทะเบียนหน่วยบริการปฐมภูมิและเครือข่ายบริการสุขภาพปฐมภูมิ</t>
  </si>
  <si>
    <t xml:space="preserve">  เพื่อมอบนโยบาย และรับฟังปัญหาที่พบในการดำเนินงาน PCU&amp;NPCU ของแพทย์เวชศาสตร์ครอบครัว ตลอดจนพิจารณาวาระสำคัญเร่งด่วนที่เกี่ยวข้อง</t>
  </si>
  <si>
    <t>ค่าอาหารว่างและเครื่องดื่ม 25 คน จำนวน  2 มื้อๆ ละ 25 บาท จำนวน 2 ครั้ง</t>
  </si>
  <si>
    <t>1.3 ประชุมเชิงปฏิบัติการพัฒนารูปแบบการให้บริการตามแนวคิดเวชศาสตร์ครอบครัว (รายวิชาชีพ)</t>
  </si>
  <si>
    <t xml:space="preserve"> เพื่อพัฒนารูปแบบการให้บริการตามแนวคิดเวชศาสตร์ครอบครัว แยกตามรายวิชาชีพ ให้สอดคล้องกับบริบทของแต่ละพื้นที่ </t>
  </si>
  <si>
    <t>บุคลากรทุกวิฃาฃีพที่ปฏิบัติงานในหน่วยบริการปฐมภูมิและเครือข่ายบริการปฐมภูมิ (30 คน)</t>
  </si>
  <si>
    <t>Tele Con.</t>
  </si>
  <si>
    <t>1.4 เยี่ยมเสริมพลังงานคุณภาพบริการในหน่วยบริการสาธารณสุข</t>
  </si>
  <si>
    <t>เพื่อแลกเปลี่ยนเรียนรู้ และติดตามคุณภาพบริการในหน่วยบริการาธารณสุข</t>
  </si>
  <si>
    <t>ทีมเยี่ยมเสริมพลังระดับจังหวัด ( 6 คน )</t>
  </si>
  <si>
    <t>เบี้ยเลี้ยงทีมเยี่ยม (จำนวน 6 คน ๆ ละ120 บาท จำนวน 25 วัน)</t>
  </si>
  <si>
    <t xml:space="preserve">โครงการพัฒนาความรอบรู้ด้านสุขภาพ
</t>
  </si>
  <si>
    <t>เพ็ญพิไล ซื่อสัตย์</t>
  </si>
  <si>
    <t xml:space="preserve"> 2.1 ประชุมชี้แจงผู้รับผิดชอบงาน</t>
  </si>
  <si>
    <t xml:space="preserve"> - เพื่อให้ จนท.สธ. และเครือข่ายด้านสุขภาพมีความรู้ ความเข้าใจในการดำเนินงานพัฒนาความรอบรู้ด้านสุขภาพ</t>
  </si>
  <si>
    <t>จนท.สธ. และเครือข่าย
ด้านสุขภาพ จำนวน 60 คน</t>
  </si>
  <si>
    <t xml:space="preserve"> 2.2 สำรวจข้อมูลความรอบรู้ (HL) และพฤติกรรมสุขภาพ (HB) ของกองสุขศึกษา กรม สบส.) และ Anamai Poll ของกรมอนามัย</t>
  </si>
  <si>
    <t xml:space="preserve"> - เพื่อประเมินความรอบรู้ด้านสุขภาพและพฤติกรรมสุขภาพประชาชน
 - เพื่อให้ จนท.สธ.นำผลการสำรวจไปวางแผนแก้ไขปัญหา</t>
  </si>
  <si>
    <t xml:space="preserve"> - ประชาชนวัยทำงาน อายุ 15-60 ปี 
 - ประชาชนวัยเรียน
อายุ 7-14 ปี</t>
  </si>
  <si>
    <t xml:space="preserve"> - เก็บข้อมูลปีละ 2 ครั้ง
 ครั้งที่ 1  เดือน ม.ค. - มี.ค. 66
 ครั้งที่ 2  เดือน มิ.ย. - ส.ค. 66
 (google form)</t>
  </si>
  <si>
    <t xml:space="preserve"> 2.3 เยี่ยมเสริมพลัง
 - ชุมชนรอบรู้ด้านสุขภาพ
 - หมู่บ้านปรับเปลี่ยนพฤติกรรมสุขภาพ
 - มาตรฐานระบบบริการสุขภาพ 
 - องค์กรรอบรู้ด้านสุขภาพ</t>
  </si>
  <si>
    <t xml:space="preserve"> - เพื่อสร้างขวัญกำลังใจให้กับพื้นที่ในการดำเนินงาน  
 - เพื่อสร้างความรู้ ความเข้าใจ  พัฒนาส่วนขาด ในการดำเนินงาน</t>
  </si>
  <si>
    <t>รพศ./รพท./รพช./
รพ.สต./หมู่บ้าน
25  อำเภอ</t>
  </si>
  <si>
    <t xml:space="preserve"> 2.4 จัดกิจกรรมแลกเปลี่ยนเรียนรู้</t>
  </si>
  <si>
    <t xml:space="preserve"> - เพื่อให้ จนท.สธ.และเครือข่ายสุขภาพได้แลกเปลี่ยนเรียนรู้
 - เกิดนวัตกรรมที่ดีในพื้นที่</t>
  </si>
  <si>
    <t>1. จนท.สธ. และเครือข่าย
ด้านสุขภาพ  ตัวแทนโซน จำนวน 4 โซนๆ ละ 10  คน รวม 40 คน
2. วิทยาการและคณะผู้จัดการประชุม 10 คน รวมทั้งสิ้น 50 คน</t>
  </si>
  <si>
    <t>ประกวด Online</t>
  </si>
  <si>
    <t xml:space="preserve"> 3. ค่าตอบแทนวิทยากร จำนวน 3 คนๆ ละ 4 ชั่วโมงๆ ละ 600 บาท  </t>
  </si>
  <si>
    <t>โครงการพัฒนาองค์กรรอบรู้ด้านสุขภาพ</t>
  </si>
  <si>
    <t>3.1. จัดประชุมพัฒนาศักยภาพนักจัดการความรอบรู้ด้านสุขภาพ (องค์กรรอบรู้ด้านสุขภาพ)
 - พชอ.
 - HLO
 - รพ.สต.ติดดาว</t>
  </si>
  <si>
    <t xml:space="preserve"> - เพื่อให้ จนท.สธ.มีความรอบรู้ด้านสุขภาพ
 - เพื่อให้ จนท.สธ. สามารถเสริมสร้างความรอบรู้ด้านสุขภาพให้กับประชาชน</t>
  </si>
  <si>
    <t>จนท.สธ. อำเภอละ 
2 คน (รพ.สต.ติดดาว และสุขศึกษา)</t>
  </si>
  <si>
    <t>Online</t>
  </si>
  <si>
    <t xml:space="preserve"> 3. ค่าตอบแทนวิทยากร จำนวน 2 คนๆละ 2 ชั่วโมงๆละ 600 บาท  (จาก ศอ.10)</t>
  </si>
  <si>
    <t xml:space="preserve"> 3.2. แลกเปลี่ยนเรียนรู้ต้นแบบอำเภอรอบรู้ด้านสุขภาพ ระดับจังหวัด 
</t>
  </si>
  <si>
    <t xml:space="preserve"> - เพื่อให้ จนท.สธ.และเครือข่ายสุขภาพได้แลกเปลี่ยนเรียนรู้  
 - เกิดการพัฒนาองค์กรสาธารณสุขเป็นต้นแบบรอบรู้ด้านสุขภาพ</t>
  </si>
  <si>
    <t>คณะกรรมการรอบรู้ด้านสุขภาพระดับอำเภอ  25  อำเภอๆ ละ 4 คน</t>
  </si>
  <si>
    <t xml:space="preserve">3. ค่าตอบแทนวิทยากร จำนวน 3 คนๆ ละ 4 ชั่วโมงๆ ละ 600 บาท </t>
  </si>
  <si>
    <t>โครงการพัฒนาความรอบรู้ด้านสุขภาพในกลุ่มวัยเรียนตามนโยบายสุขบัญญัติแห่งชาติ</t>
  </si>
  <si>
    <t>วิษณุ สุภศร</t>
  </si>
  <si>
    <t>4.1 ประชุมชี้แจงแนวทางการดำเนินงานพัฒนาความรอบรู้ด้านสุขภาพในกลุ่มวัยเรียนให้แก่นักจัดการความรอบรู้ด้านสุขภาพระดับอำเภอ</t>
  </si>
  <si>
    <t>1.เพื่อชี้แจงแนวทางการดำเนินงานพัฒนาความรอบรู้ด้านสุขภาพในกลุ่มนักเรียนตามนโยบายกองสุขศึกษา (โรงเรียนส่งเสริมสุขบัญญัติแห่งชาติ และ ยุว อสม.)</t>
  </si>
  <si>
    <t>1.นักจัดการความรอบรู้ด้านสุขภาพอำเภอละ 2 คน = 50 คน
2. วิทยากรและคณะผู้จัดการประชุม 10 คน
รวมทั้งสิ้น 60 คน</t>
  </si>
  <si>
    <t>4.2 นิเทศติดตาม เยียมเสริมพลังการดำเนินงานความรอบรู้ด้านสุขภาพในกลุ่มวัยเรียน</t>
  </si>
  <si>
    <t>2.เพื่อนิเทศติดตาม เยี่ยมเสริมพลังการดำเนินงานพัฒนาความรอบรู้ด้านสุขภาพในระดับ รพ. /สสอ. /โรงเรียน /รพ.สต.</t>
  </si>
  <si>
    <t>ผู้รับผิดชอบงานระดับจังหวัด 2 คน จำนวน 25 อำเภอ</t>
  </si>
  <si>
    <t>4.3 ประชุมนำเสนอผลงาน แลกเปลี่ยนเรียนรู้และคัดเลือกโรงเรียนส่งเสริมสุขบัญญัติดีเด่นระดับจังหวัด</t>
  </si>
  <si>
    <t>3.เพื่อเป็นเวทีให้โรงเรียนและภาคีเครือข่ายได้แลกเปลี่ยนเรียนรู้กระบวนการพัฒนาโรงเรียนสุขบัญญัติแห่งชาติ และคัดเลือกโรงเรียนที่มีผลการดำเนินงานโรงเรียนส่งเสริมสุขบัญญัติดีเด่นเป็นตัวแทนจังหวัดอุบลราชธานีเข้าร่วมคัดเลือกในระดับเขตสุขภาพที่10 และระดับประเทศ</t>
  </si>
  <si>
    <t>1.ผู้บริหารโรงเรียน ครูอนามัยโรงเรียน และนักเรียน ของโรงเรียนที่เป็นตัวแทนเขตพื้นที่สาธารณสุข 1-4 เขตละ 20 คน รวม จำนวน 80 คน 
2.วิทยากรและคณะผู้จัดการประชุม จำนวน 20 คน
รวมทั้งสิ้น 100 คน</t>
  </si>
  <si>
    <t>4.4 สำรวจและประเมินความรอบรู้ด้านสุขภาพทุกกลุ่มวัย</t>
  </si>
  <si>
    <t>4.เพื่อสำรวจและประเมินความรอบรู้ด้านสุขภาพทุกกลุ่มวัยในระดับจังหวัด ตามแบบประเมินกองสุขศึกษา กรม สบส.</t>
  </si>
  <si>
    <t>1. สำรวจและประเมิน จำนวน 2 รอบ (มค./สค.) โดยการสุ่มอำเภอรอบละ 10 อำเภอ (กลุ่มตัวอย่าง = วัยทำงาน 50 คน/อำเภอ, วัยเรียน 50 คน/อำเภอ) 
2. ผู้รับผิดชอบงานระดับจังหวัด 3 คน จำนวน 10 อำเภอ x 2 ครั้ง</t>
  </si>
  <si>
    <t>โครงการพัฒนาศักยภาพ อสม.ดีเด่น จังหวัดอุบลราชธานี ปี 2566</t>
  </si>
  <si>
    <t>วิชิต / สมบัติ</t>
  </si>
  <si>
    <t>1.โครงการคัดเลือก อสม.ดีเด่น จ.อุบลราชธานี ปี 2566 
1.1 ประชุมคณะกรรมการคัดเลือก อสม.ดีเด่น ระดับจังหวัดฯ อสม.ดีเด่น ปี 2566</t>
  </si>
  <si>
    <t>1) คณะกรรมการคัดเลือก อสม.ดีเด่น ระดับจังหวัด 12 สาขาๆ ละ 3 คน รวม 36 คน 
2) ผู้ประสานงาน  สสม. รวม 4 คน รวมทั้งสิ้น 40 คน</t>
  </si>
  <si>
    <t xml:space="preserve"> -ค่าอาหารกลางวัน รวมอาหารว่างและเครื่องดื่ม 40 คน x 120 บาท เป็นเงิน 4,800 บาท</t>
  </si>
  <si>
    <t>1.2 ประชุมคัดเลือก อสม.ดีเด่น ระดับจังหวัดฯ อสม.ดีเด่น ปี 2566</t>
  </si>
  <si>
    <t xml:space="preserve">1) อสม.ดีเด่น และพี่เลี้ยง อสม.ดีเด่น ระดับโซน ทีมละ 3 คน 48 ทีม รวม 144 คน 
2) คณะกรรมการคัดเลือก อสม.ดีเด่น ระดับจังหวัด 4 ทีมๆละ 3 คน รวม 12  คน 
3) ผู้รับผิดชอบงานและผู้ประสานงานฯ รวม 4 คน รวมเป้าหมายทั้งสิ้น 160 คน </t>
  </si>
  <si>
    <t xml:space="preserve"> 1) ค่าอาหารกลางวัน 160 คน x 120 บาท  </t>
  </si>
  <si>
    <t>โครงการพัฒนา อสม.ดีเด่น จ.อุบลราชธานี ปี 65 (จำนวน 12 สาขา) เพื่อเตรียม เข้าร่วมการประกวดคัดเลือก อสม.ดีเด่น ระดับเขต/ ภาค ปี 2566</t>
  </si>
  <si>
    <t>1.ประชุมเตรียมความพร้อม อสม.ดีเด่นฯ 12 สาขา พร้อมทีมพี่เลี้ยงฯ ระดับหมู่บ้าน ตำบล อำเภอ จังหวัด ปี 2566</t>
  </si>
  <si>
    <t>เพื่อประชุมเตรียมความ อสม.ดีเด่น ระดับจังหวัด พร้อมพี่เลี้ยง อสม.ดีเด่นระดับตำบล อำเภอ จังหวัด จำนวน 4 ครั้งๆ ละ 10 คน รวม 160 คน</t>
  </si>
  <si>
    <t>อสม.ดีเด่น ระดับจังหวัด 12 สาขา พร้อมพี่เลี้ยง อสม.ดีเด่นฯ ระดับอำเภอ ตำบล จังหวัด จำนวน 4 ครั้งๆ ละ 10 คน รวม 120 คน</t>
  </si>
  <si>
    <t>โครงการเข้าร่วมการประกวดคัดเลือก อสม.ดีเด่นระดับ เขต/ ภาคฯ / ชาติ ปีงบประงาน 2566</t>
  </si>
  <si>
    <t>ประชุมคณะทำงานเตรียมการคัดเลือก อสม.ดีเด่น ระดับเขต ระดับภาคฯ และระดับชาติ ปีงบประมาณ 2566 โดยผ่านระบบออนไลน์ ระบบ webex และ ระบบ Zoom พร้มนำทีม อสม.ดีเด่น จังหวัดอุบลราชธานี 12 สาขา พี่เลี้ยงฯ เข้าร่วมประชุมประกวดคัดเลือก อสม.ดีเด่น ระดับเขต ระดับภาคฯ และระดับชาติ ประจำปี 2566 (ผู้จัดโดย ศูนย์พัฒนาสาธารณสุขมูลฐานภาคตะวันออกเฉียงเหนือ จังหวัดขอนแก่น และกองสุขภาพภาคประชาชน กรมสนับสนับสนุนบริการสุขภาพ กระทรวงสาธารณสุข  (มกราคม-มีนาคม 2566)</t>
  </si>
  <si>
    <t>เพื่อเข้าร่วมกิจกรรมการประกวดคัดเลือก อสม.ดีเด่น ระดับเขต ระดับภาค  และระดับชาติ ประจำปี 2566</t>
  </si>
  <si>
    <t xml:space="preserve"> 
- ค่าอาหารกลางวัน พร้อมอาหารว่างและเครื่องดื่ม 120 คน x 120 บาท </t>
  </si>
  <si>
    <t xml:space="preserve">ประชุมประกวด อสม.ดีเด่น ระดับชาติ 1 สาขา ณ ห้องประชุมศูนย์สนับสนุนบริการสุขภาพที่ 10 </t>
  </si>
  <si>
    <t xml:space="preserve"> - ค่าอาหารกลางวันพร้อมอาหารว่างและเครื่องดื่ม 50 คน x 120 บาท </t>
  </si>
  <si>
    <t>โครงการพัฒนาศักยภาพบุคลากรสาธารณสุขมูลฐาน ปี 2566 (ชมรม อสม. จังหวัด)</t>
  </si>
  <si>
    <t xml:space="preserve"> โครงการพัฒนาเครือข่ายชมรม อสม.จังหวัดอุบลราชธานี ปีงบประมาณ 2566</t>
  </si>
  <si>
    <t>เพื่อประชุมประธาน อสม.ระดับอำเภอ จังหวัด อำเภอ จังหวัด ในการวางแผนงานและดำเนินงาน ปี 2566</t>
  </si>
  <si>
    <t>ประธาน อสม.ระดับอำเภอ/ผู้แทน จังหวัด และผู้รับผิดชอบงานสุขภาพภาคประชาชนระดับจังหวัด รวม 30 คน</t>
  </si>
  <si>
    <t xml:space="preserve"> - ค่าอาหารกลางวันรวมอาหารว่างและเครื่องดื่ม 30 คน x 120 บาท x 2 ครั้ง</t>
  </si>
  <si>
    <t>โครงการพัฒนาตำบลจัดการคุณภาพชีวิต บูรณาการธรรมนูญสุขภาพ ปี 2566</t>
  </si>
  <si>
    <t>1. ประชุมแลกเปลี่ยนเรียนรู้ความสำเร็จการดำเนินงานตำบลจัดการคุณภาพชีวิต ธรรมนูญสุขภาพตำบล บูรณาการคณะกรรมการพัฒนาคุณภาพชีวิตระดับอำเภอ (พชอ.) ปีงบประมาณ 2566</t>
  </si>
  <si>
    <t xml:space="preserve">คณะทำงานขับเคลื่อนการดำเนินงานตำบลจัดการคุณภาพชีวิต ธรรมนูญสุขภาพตำบล ต้นแบบ บูรณาการคณะกรรมการพัฒนาคุณภาพชีวิตระดับอำเภอ (พชอ.) อำเภอละ 1 ตำบลๆ ละ 3 คน รวม 75 คน
ผู้รับผิดชอบงานและผู้ประสานงานฯ รวม 5 คน รวมเป้าหมายทั้งสิ้น 80 คน </t>
  </si>
  <si>
    <t>2.ประชุมคัดเลือกตำบลจัดการคุณภาพชีวิตแบบบูรณาการ ต้นแบบ ระดับอำเภอ ระดับโซนพัฒนาสาธารณสุข ปี 2566 (ดำเนินการคัดเลือกโดยระดับอำเภอ)</t>
  </si>
  <si>
    <t>เพื่อประชุมคัดเลือกตำบลจัดการคุณภาพชีวิตวิถีใหม่ ปลอดภัยจากโควิด-19 ต้นแบบ จ.อุบลราชธานี ปี 2566 (ดำเนินการโดยระดับอำเภอ)</t>
  </si>
  <si>
    <t>1) อำเภอคัดเลือกตำบจัดการคุณภาพชีวิตแบบบูรณาการ อำเภอละ 1 ตำบล 
2) โซนพัฒนาสาธาณรสุข ดำเนินการคัดเลือก ตัวแทนตำบลจัดการคุณภาพชีวิตแบบบูรณาการต้นแบบระดับโซนๆ ละ 1 ตำบล รวม 4 ตำบล
3) จังหวัด ลงเยี่ยมพื้นที่ต้นแบบ คัดเลือกตัวแทนรับจังหวัด  1 ตำบล</t>
  </si>
  <si>
    <t>ค่าเบี้ยเลี้ยงการเดินทางไปราชการ 4 คน 4 วัน(โซนละ 1 วัน)</t>
  </si>
  <si>
    <t>3. ประชุมเตรียมความพร้อมคัดเลือกตำบลจัดการคุณภาพชีวิตวิถีใหม่ ปลอดภัยจากโควิด-19 แบบบูรณาการฯ ดีเด่น จ.อุบลราชธานี ปี 2566 เข้าประกวดคัดเลือก ตำบลจัดการคุณภาพชีวิตแบบบูรณาการดีเด่น ระดับเขต สุขภาพที่ 10 (กรกฏาคม 2566)</t>
  </si>
  <si>
    <t>เพือเตรียมความพร้อม ตำบลจัดการคุณภาพชีวิตแบบบูรณาการดีเด่น จ.อุบลราชธานี เข้าร่วมประกวดตำบลจัดการคุณภาพชีวิตแบบบูรณาการดีเด่น ระดับเขตสุขภาพที่ 10 ปี 2566</t>
  </si>
  <si>
    <t>ทีมงานเครือข่ายขับเคลื่อนตำบลจัดการคุณภาพชีวิตแบบบูรณาการดีเด่น จังหวัดอุบลราชธานี รวม 30 คน</t>
  </si>
  <si>
    <t>โครงการบูรณาการติดตามและประเมินผลการดำเนินงานสุขภาพภาคประชาชน  จังหวัดอุบลราชธานี ปี 2566</t>
  </si>
  <si>
    <t xml:space="preserve">1. ออกติดตามและเยี่ยมเสริมพลังการดำเนินงานสุขภาพภาคประชาชน งานสนับสนุนบริการสุขภาพ บูรณาการงานปฐมภูมิ ระดับอำเภอ </t>
  </si>
  <si>
    <t xml:space="preserve">เพื่อติดตามและเยี่ยมเสริมพลังการดำเนินงานสุขภาพภาคประชาชน งานสนับสนุนบริการสุขภาพ บูรณาการงานปฐมภูมิ (อสม., อสม.หมอประจำบ้าน, อสค., ตำบลจัดการฯ, ทีมหมอครอบครัว 
(3 หมอ + 1 นสค), ธรรมนูญคุณภาพชีวิตฯ เป็นต้น </t>
  </si>
  <si>
    <t>ผู้รับผิดชอบงานสุขภาพภาคประชาชน งานสนับสนุนบริการสุขภาพ งานปฐมภูมิ ระดับอำเภอ ตำบล กลุ่มงานพัฒนาคุณภาพและรูปแบบบริการ</t>
  </si>
  <si>
    <t xml:space="preserve">2.  ออกติดตามและเยี่ยมเสริมพลังในการดำเนินงานสุขภาพภาคประชาชน งานสนับสนุนบริการสุขภาพ บูรณาการงานปฐมภูมิ ระดับโซนพัฒนาสาธารณสุขฯ </t>
  </si>
  <si>
    <t>เพื่อออกติดตามและสุ่มประเมินการการดำเนินงานสุขภาพภาคประชาชน งานสนับสนุนบริการสุขภาพ และงานปฐมภูมิ</t>
  </si>
  <si>
    <t>ผู้รับผิดชอบงานสุขภาพภาคประชาชน งานสนับสนุนบริการสุขภาพ งานปฐมภูมิ ระดับอำเภอ ตำบล</t>
  </si>
  <si>
    <t>ค่าเบี้ยเลี้ยงคณะทำงานออกสุ่มประเมินการปฏิบัติงานของ อสม., อสม.หมอประจำบ้าน, อสค. จำนวน 5 คน × 4 ครั้ง (โซน) × 120 บาท  (เยี่ยมเสริมพลังงานสุขภาพภาคประชาชน บูรณาการงานปฐมภูมิ และชมรม อสม.ระดับอำเภอ ตำบล)</t>
  </si>
  <si>
    <t>โครงการพัฒนาทีมผู้ดูแลระบบข้อมูลสุขภาพภาคประชาชน บูรณการงานปฐมภูมิ จังหวัดอุบลราชธานี ปี 2566</t>
  </si>
  <si>
    <t>การประชุมผู้รับผิดชอบงาน สุขภาพภาคประชาชน งานสนับสนุนบริการสุขภาพ บูรณาการงานปฐมภูมิ จังหวัดอุบลราชธานี ปี 2566</t>
  </si>
  <si>
    <t>เพื่อพัฒนาผู้รับผิดชอบงาน และดูแลระบบข้อมูลสุขภาพภาคประชาชน งานสนับสนุนลริการสุขภาพ บูรณาการงานปฐมภูมิ จังหวัดอุบลราชธานี ปี 2566</t>
  </si>
  <si>
    <t>ทีมผู้รับผิดชอบงาน สุขภาพภาคประชาชน งานสนับสนุนบริการสุขภาพ บูรณาการงานปฐมภูมิ ระดับจังหวัด อำเภอ ตำบล รวม 30 คน</t>
  </si>
  <si>
    <t xml:space="preserve"> ประชุม ทีมผู้รับผิดชอบงาน สุขภาพภาคประชาชน บูรณาการงานปฐมภูมิ ระดับจังหวัด อำเภอ ตำบล รวม 30 คน × 120 บาท  ×  2 ครั้ง  เป็นเงิน 7,600 บาท</t>
  </si>
  <si>
    <t>โครงการขับเคลื่อนการดำเนินงานสุขภาพภาคประชาชน รองรับการกระจายอำนาจ การถ่ายโอน รพ.สต.สู่ อบจ. ปีงบประมาณ 2566</t>
  </si>
  <si>
    <t>1. ประชุมจัดทำแผนการดำเนินงานฯ ระดับจังหวัด ปี 2566</t>
  </si>
  <si>
    <t xml:space="preserve">ตัวแทนคณะทำงานขับเคลื่อนการดำเนินงานสุขภาพภาคประชาชน รองรับการถ่ายโอนภารกิจฯ ระดับจังหวัด อำเภอ ละ 2 คน พร้อมคณะทำงานระดับจังหวัด รวม 60 คน
</t>
  </si>
  <si>
    <t xml:space="preserve">ตัวแทนคณะทำงานขับเคลื่อนการดำเนินงานสุขภาพภาคประชาชน รองรับการถ่ายโอนภารกิจฯ ระดับจังหวัด อำเภอ ละ 3 คน พร้อมคณะทำงานระดับจังหวัด รวม 80 คน
</t>
  </si>
  <si>
    <t>2. ประชุมขับเคลื่อนการดำเนินงานถ่ายโอนภารกิจฯ ระดับโซนพัฒนาสสาธารณสุข ทั้ง 4 โซฯ ปี 2566</t>
  </si>
  <si>
    <t>เพื่อประชุมสื่อสารขับเคลื่อนการดำเนินงานถ่ายโอนภารกิจฯ ระดับโซนพัฒนาสสาธารณสุข ทั้ง 4 โซฯ ปี 2566</t>
  </si>
  <si>
    <t>ตัวแทนคณะทำงานขับเคลื่อนการดำเนินงานสุขภาพภาคประชาชน รองรับการถ่ายโอนภารกิจฯ ระดับโซนพัมนาสาธารณสุข โซนละ 1 ครั้งๆ ละ 60 คน รวม 240 คน</t>
  </si>
  <si>
    <t>3. ออกะเยี่ยมเสริมพลังการดำเนินงานสุขภาพภาคประชาชน ถ่ายโอนภารกิจฯ จังหวัดอุบลราชธานี ปี 2566</t>
  </si>
  <si>
    <t>คณะทำงานจังหวัด ออกพื้นที่ เพื่อติดตามและเยี่ยมเสริมพลังการดำเนินงานสุขภาพภาคประชาชน ถ่ายโอนภารกิจฯ จังหวัดอุบลราชธานี ปี 2566</t>
  </si>
  <si>
    <t>ผู้รับผิดชอบงานสุขภาพภาคประชาชน งานสนับสนุนบริการสุขภาพ งานปฐมภูมิ ระดับอำเภอ ตำบล กลุ่มงานพัฒนาคุณภาพและรูปแบบบริการ พร้อมภาคีเครือข่าย ระดับจังหวัด อำเภอ ตำบล</t>
  </si>
  <si>
    <t>โครงการพัฒนาคุณภาพระบบบริการสุขภาพตาม Service Plan</t>
  </si>
  <si>
    <t>นาฏนภา</t>
  </si>
  <si>
    <t>1.ประชุมวางแผนพัฒนาศักยภาพของโรงพยาบาล/สถานบริการแต่ละระดับ  จำนวน 1 ครั้ง</t>
  </si>
  <si>
    <t xml:space="preserve"> 1. วางแผนพัฒนาศักยภาพของโรงพยาบาล 
2.วางแผนพัฒนาservice planรายสาขา        
3. เพื่อทบทวนวางแผนการดำเนินงาน            
4.เพื่อกำกับติดตามผลการดำเนินงาน สรุปผลการดำเนินงาน และเตรียมรับการตรวจราชการ</t>
  </si>
  <si>
    <t>คณะกรรมการพัฒนาคุณภาพระบบบริการระดับจังหวัด</t>
  </si>
  <si>
    <t xml:space="preserve"> 1. ค่าอาหารว่างและเครื่องดื่ม จำนวน 25 บาท x 2  ครั้ง x ครั้งละจำนวน 20 คน </t>
  </si>
  <si>
    <t>2 ค่าอาหารกลางวัน จำนวน 70 บาท x 1  ครั้ง x ครั้งละจำนวน 20 คน</t>
  </si>
  <si>
    <t>2.ประชุมเชิงปฏิบัติการคณะกรรมการService Plan และผู้รับผิดชอบงาน รายสาขา จำนวน 9 สาขาดังนี้  จำนวน 1ครั้งต่อปี</t>
  </si>
  <si>
    <t xml:space="preserve">1.เพื่อพัฒนาศักยภพให้ผู้เข้าร่วมอบรม มีความรู้ 
ความเข้าใจและเกิดทักษะ
การสื่อสารข่าวและประชาสัมพันธ์
และสามารถสื่อสารข้อมูลโรคและภัยสุขภาพได้อย่างถูกต้อง
       </t>
  </si>
  <si>
    <t>1.สาขาการดูแลผู้ป่วยโรคหลอดเลือดสมอง 
( Stroke)
2.สาขาการดูแลผู้ป่วยโรคหลอดเลือดหัวใจ (STEMI)
3.สาขาการดูแลผู้ป่วยโรคมะเร็ง (Cancer)
4.สาขาการดูแลผู้ป่วยโรคอายุรกรรม (Sepsis )   
5. สาขาการรับและปลูกถ่ายอวัยวะ (Transplants) 
6..สาขาการดูแลผู้ป่วยโรคศัลยศาสตร์ออร์โธปิดิกส์ (Orthopedics) 
7. สาขาการผ่าตัดวันเดียวกลับ (One day surgery)
8. สาขาการดูแลผู้ป่วยระยะกลาง (Intermediate care)
9.สาขาศัลยกรรม (Surgery)</t>
  </si>
  <si>
    <t xml:space="preserve"> ค่าอาหารว่างและเครื่องดื่มจำนวน 25 บาท x 10 ครั้ง xครั้งละจำนวน 50 คนเป็นเงิน 12,500 บาท                  
</t>
  </si>
  <si>
    <t>2. เตรียมความพร้อมของหน่วยงานในสื่อสารประชาสัมพันธ์ให่หน่วยงาน
ในและนอกสังกัด กท.สธ.</t>
  </si>
  <si>
    <t xml:space="preserve">ค่าอาหารกลางวัน จำนวน 70 บาท x 2 ครั้ง x ครั้งละจำนวน 50 คน </t>
  </si>
  <si>
    <t>3.เพื่อยกระดับคุณภาพการปฏิบัติงาน Service Plan  ลดอัตราป่วย ลดอัตราตาย ลดความแออัด ลดระยะเวลารอคอย และพัฒนาศักยภาพของโรงพยาบาล หน่วยงาน เครือข่าย</t>
  </si>
  <si>
    <t xml:space="preserve">ค่าวิทยากรนอกหน่วยงาน 600 บาท x 7 ชั่วโมง (1 วัน) </t>
  </si>
  <si>
    <t>ค่าวิทยากรภายในจังหวัด 300 บาท x 7 ชั่วโมง (2 วัน)</t>
  </si>
  <si>
    <t>3. การประชุมแลกเปลี่ยนเรียนรู้การพัฒนาระบบบริการสุขภาพ ( Service Plan นำเสนอผลงาน Best Practice Service Plan
 โรงพยาบาลในจังหวัดอุบลราชธานี</t>
  </si>
  <si>
    <t xml:space="preserve"> การประชุมแลกเปลี่ยนเรียนรู้การพัฒนาระบบบริการสุขภาพ </t>
  </si>
  <si>
    <t xml:space="preserve"> service plan 17สาขา</t>
  </si>
  <si>
    <t xml:space="preserve">ค่าอาหารว่างและเครื่องดื่มจำนวน 25 บาท x 2 ครั้ง จำนวน 50 คนเป็นเงิน 2,500 บาท 
</t>
  </si>
  <si>
    <t>ค่าอาหารกลางวัน จำนวน 70 บาท x 1 ครั้ง จำนวน 50 คน เป็นเงิน 3,500 บาท</t>
  </si>
  <si>
    <t xml:space="preserve">ค่าวิทยากรภายนอก 600 บาท x 5 ชั่วโมง จำนวน 3 คน </t>
  </si>
  <si>
    <t>โครงการ IMC</t>
  </si>
  <si>
    <t>1.อบรมพัฒนาศักยภาพด้านองค์ความรู้และสมรรถนะของผู้รับผิดชอบงานService Plan สาขา สาขาการดูแลผู้ป่วยระยะกลาง (Intermediate care)  จำนวน 2ครั้งต่อปี</t>
  </si>
  <si>
    <t>1.ผู้ผ่านการอบรมมีความรู้และทักษะในการบริบาลฟื้นสภาพระยะกลาง             2.ผู้รับผิดชอบงาน IMC มีการพัฒนาความรู้และทักษะในการบันทึกข้อมูลตามโปรแกรม   smart refer</t>
  </si>
  <si>
    <t xml:space="preserve"> 
8. สาขาการดูแลผู้ป่วยระยะกลาง (Intermediate care)
</t>
  </si>
  <si>
    <t xml:space="preserve">ค่าอาหารว่างเครื่องดื่มและอาหารกลางวัน 50 คน 2 ครั้ง x 120 บาท 
</t>
  </si>
  <si>
    <t>ค่าตอบวิทยากร 2 คนคนละ 2 ชั่วโมงๆละ 600 บาทเป็นเงิน 2,400 บาทต่อรุ่นจำนวน 2 รุ่น</t>
  </si>
  <si>
    <t>4.แลกเปลี่ยนเรียนรู้ผลการดำเนินงาน Service Plan ระดับจังหวัดแบบ Online</t>
  </si>
  <si>
    <t>เพื่อพัฒนาระบบการดำเนินงาน Service Plan</t>
  </si>
  <si>
    <t>คณะกรรมการService Plan,ผู้รับผิดชอบงาน 
จำนวน 30 คน</t>
  </si>
  <si>
    <t>Tele con.</t>
  </si>
  <si>
    <t>โครงการพัฒนาคุณภาพระบบบริการรับส่งต่อผู้ป่วย</t>
  </si>
  <si>
    <t>ปภัสพร</t>
  </si>
  <si>
    <t xml:space="preserve"> 1.ประชุมเชิงปฏิบัติการเครือข่ายผู้รับผิดชอบงานระบบส่งต่อจังหวัดอุบลราชธานีแบบONSITE</t>
  </si>
  <si>
    <t xml:space="preserve">1.เพื่อพัฒนาเครือข่ายงานส่งต่อผู้ป่วยในจังหวัด </t>
  </si>
  <si>
    <t xml:space="preserve">ผู้รับผิดชอบงานส่งต่อและผู้ปฏิบัติงานในจังหวัดอุบล ราชธานี จำนวน 40 คน </t>
  </si>
  <si>
    <t xml:space="preserve">ค่าอาหารว่างและเครื่องดื่ม  40 คน x 25 บาท x2 ครั้ง   ค่าอาหารกลางวัน40คน x 70 บาท (4 ครั้ง) </t>
  </si>
  <si>
    <t>2.อบรมฟื้นฟูวิชาการพยาบาลส่งต่อจังหวัดอุบลราชธานีหลักสูตร 1วันต่อรุ่น จำนวน ๒ รุ่น</t>
  </si>
  <si>
    <t>เพื่อพัฒนาศักยภาพของบุคลากรที่ปฏิบัติงานรับส่งต่อผู้ป่วย</t>
  </si>
  <si>
    <t>กลุ่มเป้าหมาย พยาบาลส่งต่อของรพ.จำนวน28 แห่งๆละ 3   คนต่อรุ่น  รวม  84    คน</t>
  </si>
  <si>
    <t xml:space="preserve">ค่าอาหารว่างและเครื่องดื่ม  84 คน x 25 บาท x 6 ครั้ง   ค่าอาหารกลางวัน 84คน x 70 บาท 3 ครั้ง ( 3 วัน)
   </t>
  </si>
  <si>
    <t xml:space="preserve">ค่าวิทยากร จำนวน 3 คนคนละ 4 ชั่วโมงๆละ600บาท  </t>
  </si>
  <si>
    <t>โครงการพระราชดำริ  ราชทัณฑ์ปันสุข ทำความดี เพื่อชาติ ศาสน์ กษัตริย์  ด้านการบริการสุขภาพผู้ต้องขังเรือนจำกลางอุบลราชธานี  ปี 2566</t>
  </si>
  <si>
    <t>วีระสุดา</t>
  </si>
  <si>
    <t>พัฒนาระบบบริการสุขภาพในเรีอนจำ</t>
  </si>
  <si>
    <t xml:space="preserve">  1.   เพื่อเป็นการเฉลิมพระเกียรติ/สนับสนุนโครงการ/กิจกรรมเนื่องในโอกาสมหามงคลฯ</t>
  </si>
  <si>
    <t>ทีม สหวิชาชีพ  ประกอบด้วย แพทย์  ทันตแพทย์ พยาบาล และทีมสาธารณสุขอื่นๆ  จำนวน 30 คน</t>
  </si>
  <si>
    <t xml:space="preserve">1. ค่าอาหารว่าง/เครื่องดื่ม (40 คน x 25 บาท x 2 ครั้ง)     </t>
  </si>
  <si>
    <t>จัดหน่วยแพทย์เคลื่อนที่บริการสุขภาพผู้ต้องขัง  ผู้ต้องขัง  6,520  คน</t>
  </si>
  <si>
    <t xml:space="preserve">  2.   เพื่อเป็นการจัดบริการสาธารณสุขร่วมกับหน่วยงานที่เกี่ยวข้อง ครอบคลุมทั้งด้านการรักษาพยาบาล การส่งเสริมสุขภาพ การป้องกันควบคุมและกำจัดโรค การฟื้นฟูสมรรถภาพ และการคุ้มครองผู้บริโภคด้านสาธารรสุข ตามแนวทางการพัฒนาระบบบริการสาธารณสุขสำหรับผู้ต้องขังในเรือนจำ</t>
  </si>
  <si>
    <t>โครงการจัดกิจกรรมรับเสด็จฯ  ถวายความปลอดภัยด้านการรักษาพยาบาลและออกหน่วยปฐมพยาบาลในการให้บริการประชาชนตามภารกิจพิเศษ</t>
  </si>
  <si>
    <t xml:space="preserve">ปภัสพร </t>
  </si>
  <si>
    <t>จัดหน่วยปฐมพยาบาลให้บริการประชาชนตามภารกิจพิเศษ</t>
  </si>
  <si>
    <t>1. เพื่อให้บริการแก่ประชาชนที่มาเฝ้ารอรับเสด็จฯ
2. เพื่อถวายความปลอดภัยด้านการรักษาพยาบาล 
3.เพื่อให้ประชาชนที่เจ็บป่วยได้รับการดูแลรักษาที่ทันท่วงทีและส่งต่อตามระบบ</t>
  </si>
  <si>
    <t xml:space="preserve"> คณะทำงานหน่วยปฐมพยาบาลจังหวัดอุบลราชธานี  จำนวน 50 คน</t>
  </si>
  <si>
    <t xml:space="preserve"> 1.ค่าอาหารว่าง/เครื่องดื่มและอาหารกลางวัน 50 คน 5 ครั้ง x 120 บาท
           </t>
  </si>
  <si>
    <t>โครงการพัฒนาคุณภาพโรงพยาบาล</t>
  </si>
  <si>
    <t>พิชญาภา</t>
  </si>
  <si>
    <t>1.ประชุมเชิงปฏิบัติ การพัฒนาศักยภาพบุคลากร ตามมาตรฐานHA</t>
  </si>
  <si>
    <t xml:space="preserve">   เพื่อพัฒนาศักยภาพบุคลากรFacilitater, Quality Management Representative : QMR , ทีมนำคุณภาพที่สำคัญจาก รพ. ให้มีความรู้ Update ตามมาตรฐานคุณภาพโรงพยาบาลและสถานพยาบาลฉบับที่ 5
</t>
  </si>
  <si>
    <t xml:space="preserve">   กลุ่มเป้าหมาย ได้แก่ ผู้ปฏิบัติงาน Facilitater, Quality Management Representative : QMR , ทีมนำคุณภาพที่สำคัญจาก รพ. ,ผู้จัดการประชุมและวิทยากร รวมจำนวน
60 คน จำนวน 2 ครั้งๆละ 1 วัน
</t>
  </si>
  <si>
    <t xml:space="preserve"> - ค่าอาหาร อาหารว่างและเครื่องดื่มจำนวน 60 คน ๆ ละ 120 บาท 2 ครั้งๆ ละ 1 วัน (60คนx120บาทX2วัน)
</t>
  </si>
  <si>
    <t xml:space="preserve">  -ค่าตอบแทนวิทยากร 5 ชมๆ ละ 600 บาท/วัน  (5ชม.x600บาทx2วัน)</t>
  </si>
  <si>
    <t xml:space="preserve">2. ประชุมเชิงปฏิบัติการแลกเปลี่ยนเรียนรู้งาน HA
 </t>
  </si>
  <si>
    <t xml:space="preserve"> 1.เพื่อพัฒนารูปแบบกระบวนการพัฒนา คุณภาพโรงพยาบาลอย่างมีส่วนร่วม
สู่การรับรองมาตรฐาน HA ด้วยกระบวนการ Quality Learning Network :QLN 
 2. เพื่อติดตามการขับเคลื่อนการพัฒนา
คุณภาพตามมาตรฐาน HA อย่างต่อ
เนื่อง 
3. เพื่อเตรียมความพร้อมของ รพ.
ในการเข้าสู่กระบวนการรับรองคุณภาพ
และต่ออายุการรับรองคุณภาพ 
4.เพื่อเสริมสร้างขวัญและกำลังใจให้กับ
บุคลากรที่ปฏิบัติงานพัฒนาคุณภาพ
โรงพยาบาล 
</t>
  </si>
  <si>
    <t xml:space="preserve"> ผู้ปฏิบัติงานเป็น Quality Realization Team (QRT) และ    ทีมนำด้านคุณภาพจาก รพ.พี่เลี้ยง จำนวน 2 ทีม (ทีมเหนือ=โซน1และโซน2 จำนวน8 รพ. ทีมใต้= โซน 3และโซน4 จำนวน 9 ทีมๆ ละ 10 คน ร่วมกระบวนการแลกเปลี่ยน เรียนรู้ใน รพ.ลูกข่าย 17 รพ.ๆ ละ 1 ครั้ง ๆ ละ   1 วัน </t>
  </si>
  <si>
    <t xml:space="preserve"> - ค่าอาหารกลางวัน อาหารว่างและเครื่องดื่ม จำนวน 10 คนๆ ละ 120 บาท 17 ครั้งๆละ1วัน (20 คน X 120 บาท X 17 วัน) 
 เป็นเงิน 20,400 บาท</t>
  </si>
  <si>
    <t xml:space="preserve"> -ค่าตอบแทนวิทยากร 17 วันๆละ 5 ชม.ๆละ 600 บาท
(17วันX5ชม.X600บาท)
เป็นเงิน 51,000 บาท
</t>
  </si>
  <si>
    <t xml:space="preserve"> การพัฒนาคุณภาพงานห้องปฏิบัติการทางการแพทย์และสาธารณสุข</t>
  </si>
  <si>
    <t xml:space="preserve"> จัดประชุมวิชาการเพื่อพัฒนาศักยภาพบุคลากรเครือข่ายงานเทคนิคการแพทย์จังหวัดอุบลราชธานี</t>
  </si>
  <si>
    <t xml:space="preserve"> 1.เพื่อชี้แจงนโยบาย กำหนดแนวทางการพัฒนา 
 2.เพื่อพัฒนาศักยภาพบุคลากรและเจ้าหน้าที่งานเทคนิคการแพทย์ให้มีความรู้ทักษะในการตรวจประเมินตนเองตามเกณฑ์มาตรฐาน Laboratory Accreditation: LA
3. เพื่อติดตามผลการดำเนินงานวิเคราะห์ประเมิน สรุปผลการดำเนินงาน
และวางแผนการพัฒนาให้ต่อเนื่องทั้งคุณภาพห้องปฏิบัติการ 
</t>
  </si>
  <si>
    <t xml:space="preserve">บุคลากรที่ปฏิบัติงานห้องปฏิบัติการทางการแพทย์ และบุคลากรผู้เกี่ยวข้อง จำนวน 30 คน จำนวน 2 ครั้งๆ ละ 1 วัน  </t>
  </si>
  <si>
    <t xml:space="preserve"> - ค่าอาหารว่าง/เครื่องดื่มและอาหารกลางวัน 30 คน ๆละ 120 บาท 2 ครั้งๆละ 1 วัน (30คนx120บาทX2ครั้ง)</t>
  </si>
  <si>
    <t>การพัฒนาคุณภาพงานห้องปฏิบัติการรังสีวินิจฉัย</t>
  </si>
  <si>
    <t xml:space="preserve"> จัดประชุมวิชาการเพื่อพัฒนาศักยภาพบุคลากรเครือข่าย    งานรังสีวินิจฉัย
 </t>
  </si>
  <si>
    <t xml:space="preserve"> 1.เพื่อชี้แจงนโยบาย กำหนดแนวทางการพัฒนา 
2.เพื่อพัฒนาระบบการดำเนินงานตามมาตรฐานรังสีวินิฉัยและขอรับรองคุณภาพตามมาตรฐานกระทรวงสาธารณสุข
3. เพื่อติดตามผลการดำเนินงานวิเคราะห์ประเมิน สรุปผลการดำเนินงาน
และวางแผนการพัฒนาให้ต่อเนื่องทั้งคุณภาพห้องปฏิบัติการ </t>
  </si>
  <si>
    <t xml:space="preserve"> บุคลากรที่ปฏิบัติงานรังสีวินิจฉัยและเจ้าหน้าที่บุคลากรผู้เกี่ยวข้อง จำนวน 30 คน 2 ครั้ง  ๆละ 1 วัน</t>
  </si>
  <si>
    <t xml:space="preserve"> - ค่าอาหารว่าง/เครื่องดื่มและอาหารกลางวัน จำนวน30 คน ๆละ 120 บาท  2 ครั้ง   (30คนx120บาทx2ครั้ง)
รวมเป็นเงิน 7,200 บาท)</t>
  </si>
  <si>
    <t>โครงการพัฒนาคุณภาพการบริการพยาบาล จังหวัดอุบลราชธานี</t>
  </si>
  <si>
    <t>กนกวรรณ</t>
  </si>
  <si>
    <t>1. ถ่ายทอดยุทธศาสตร์และติดตามผลการดำเนินงานพัฒนาคุณภาพบริการพยาบาลในโรงพยาบาลและในชุมชน</t>
  </si>
  <si>
    <t xml:space="preserve"> เพื่อส่งเสริมให้องค์กรพยาบาลผ่านการรับรองคุณภาพบริการพยาบาลในโรงพยาบาลและในชุมชน</t>
  </si>
  <si>
    <t xml:space="preserve"> ผู้บริหารการพยาบาลในโรงพยาบาลและในชุมชนจังหวัดอุบลราชธานี2กลุ่ม กลุ่มละ30 รวม 4  ครั้ง</t>
  </si>
  <si>
    <t xml:space="preserve">ค่าอาหารว่าง/เครื่องดื่มและอาหารกลางวัน 30 คน x 120 บาท 4 ครั้ง </t>
  </si>
  <si>
    <t>2. ประชุมเชิงปฏิบัติการการพัฒนารูปแบบมาตรฐานการพยาบาลแบบบูรณาการโดยการมีส่วนร่วมจังหวัดอุบลราชธานี</t>
  </si>
  <si>
    <t xml:space="preserve"> 1. เพื่อให้ผู้รับบริการได้รับการบริการที่ได้มาตรฐานไม่มีภาวะแทรก ซ้อนและมีความพึงพอใจ </t>
  </si>
  <si>
    <t xml:space="preserve"> ผู้บริหารการพยาบาลในชุมชน(หัวหน้างานปฐมภูมิและองค์รวม ตัวแทนพยาบาล รพ.สต.)ในจังหวัดอุบลราชธานี 60 คน 2  ครั้ง</t>
  </si>
  <si>
    <t xml:space="preserve">ค่าอาหารว่าง/เครื่องดื่มและอาหารกลางวัน 60 คน x 120 บาท 2 ครั้ง </t>
  </si>
  <si>
    <t>3. ประชุมเชิงปฏิบัติการเตรียมรับการประเมินคุณภาพการพยาบาลในโรงพยาบาลแบบบูรณาการโดยการมีส่วนร่วมจังหวัดอุบลราชธานี</t>
  </si>
  <si>
    <t xml:space="preserve"> 1. เพื่อให้ผู้ป่วยปลอดภัยไม่มีภาวะแทรกซ้อน ลดข้อร้องเรียน และมีความพึงพอใจ </t>
  </si>
  <si>
    <t xml:space="preserve"> ผู้รับผิดชอบงานพัฒนาคุณภาพบริการพยาบาลในโรงพยาบาลจำนวน 60 คน</t>
  </si>
  <si>
    <t xml:space="preserve">4. พัฒนารูปแบบการประเมินคุณภาพบริการพยาบาลในชุมชน </t>
  </si>
  <si>
    <t xml:space="preserve"> - ให้ผู้ประเมินคุณภาพบริการพยาบาลให้สามารถประเมินคุณภาพการบริการพยาบาลตามมาตรฐานบริการหน่วยงานพยาบาล 11 งาน  </t>
  </si>
  <si>
    <t>โครงการพัฒนาคุณภาพตามเกณฑ์การบริหารจัดการภาครัฐ PMQA  จังหวัดอุบลราชธานี</t>
  </si>
  <si>
    <t>1.ประชุมเชิงปฏิบัติการขับเคลื่อนระบบการบริหารจัดการภาครัฐ PMQAในสำนักงานสาธารณสุขจังหวัด</t>
  </si>
  <si>
    <t xml:space="preserve">  เพื่อให้บุคลากรทุกระดับสามารถนำเกณฑ์การพัฒนาคุณภาพการบริหารจัดการภาครัฐ PMQAไปใช้ในการปฏิบัติงานได้</t>
  </si>
  <si>
    <t xml:space="preserve"> คณะกรรมการพัฒนาคุณภาพการบริหารจัดการภาครัฐ จำนวน 20 คน 2 ครั้ง
 </t>
  </si>
  <si>
    <t xml:space="preserve">ค่าอาหารว่าง/เครื่องดื่ม  25 บาท 4 ครั้ง </t>
  </si>
  <si>
    <t>2.ประชุมเชิงปฏิบัติการขับเคลื่อนระบบการบริหารจัดการภาครัฐ PMQA สำนักงานสาธารณสุขอำเภอ</t>
  </si>
  <si>
    <t xml:space="preserve">  เพื่อให้บุคลากรทุกระดับสามารถนำเกณฑ์การพัฒนาคุณภาพการบริหารจัดการภาครัฐ PMQAไปใช้ในการปฏิบัติงานได้ในเครือข่าย 25 อำเภอ</t>
  </si>
  <si>
    <t xml:space="preserve"> คณะกรรมการพัฒนาคุณภาพการบริหารจัดการภาครัฐ ระดับอำเภอ
 </t>
  </si>
  <si>
    <t>Tela conference</t>
  </si>
  <si>
    <t>โครงการรณรงค์ประชาสัมพันธ์โรคและภัยสุขภาพที่ประชาชนควรรู้จังหวัด
อุบลราชธานี ในงานกาชาดและงานปีใหม่จังหวัดอุบลราชธานี ปี 2566</t>
  </si>
  <si>
    <t xml:space="preserve"> 1. ประชุมคณะกรรมการเตรียมการจัดงาน
</t>
  </si>
  <si>
    <t xml:space="preserve">1. เตรียมความพร้อมของหน่วยงานในการรณรงค์ปชส.ร่วมกับจังหวัดอุบลราชธานี
2.เพื่อสร้างกระแสด้านการ
ดูแลและสร้างสุขภาพiรวมทั้งรณรงค์เพื่อประชาสัมพันธ์กิจกรรมของหน่วงานสาธารณสุข
3.ปฏิบัติงานตามนโยบายผู้ว่าราชการจังหวัดอุบลราชธานี
</t>
  </si>
  <si>
    <t>1.คณะกรรมการจัดงานออกร้านนิทรรศการในงานปีใหม่และงานกาชาดจังหวัดอุบลราชธานี จำนวน 30 คน * 2ครั้ง</t>
  </si>
  <si>
    <t>1. ค่าอาหารกลางวัน จำนวน 1 มื้อๆ ละ 70 บาท * 2 วัน จำนวน 30 คน เป็นเงิน 4,200 บาท
2. ค่าอาหารว่างและเครื่องดื่ม จำนวน 2 มื้อๆ ละ 25 บาท * 2 วัน จำนวน 30 คน เป็นเงิน 3,000 บาท</t>
  </si>
  <si>
    <t>2.การร่วมจัดนิทรรศการความรู้เรื่องโรคและภัยสุขภาพที่ประชาชนควรรู้ในงานปีใหม่และงานกาชาดจังหวัดอุบลราชธานี</t>
  </si>
  <si>
    <t>2.การออกร้านจัดนิทรรศการในงานปีใหม่และงานกาชาดจังหวัดอุบลราชธานี ( 10 วัน )</t>
  </si>
  <si>
    <t>3. ค่าล่วงเวลาเจ้าหน้าที่ เป็นเงิน 7,000 บาท
4. ค่าสาธารณูปโภค,ค่าวัสดุ,ค่าจ้างเหมาจัดสร้างร้านนิทรรศการ (พร้อมรื้อถอน)  ในการออกร้านนิทรรศการในงานกาชาดฯ (ระยะเวลา 10 วัน) เป็นเงิน 80,000 บาท</t>
  </si>
  <si>
    <t xml:space="preserve"> โครงการประชุมเชิงปฏิบัติการถอดบทเรียนการสื่อสารในกรณีวิกฤตกรณีโรคอุบัติใหม่และภัยธรรมชาติ ปี 2566</t>
  </si>
  <si>
    <t>พรสิริ มณฑา</t>
  </si>
  <si>
    <t xml:space="preserve">1. ประชุมเชิงปฏิบัติการคณะกรรมการสื่อสารและประชาสัมพันธ์จังหวัดอุบลราชธานี ปี2566 ร่วมกับประชาสัมพันธ์จังหวัดฯและINFLUencer ในจังหวัด จำนวน 1 ครั้ง/ปี </t>
  </si>
  <si>
    <t xml:space="preserve">1.เพื่อถอดบทเรียนนำไปพัฒนาองค์ความรู้และทักษะด้านการประชาสัมพันธ์ของนักสื่อสารด้านข่าวและประชาสัมพันธ์ในจังหวัดในกรณ๊ฉุกเฉิน/วิกฤต
2. เพื่อสร้างระบบการเฝ้าระวังการสื่อสารความเสี่ยงด้านข่าวและปชส. 
3.เพื่อสร้างความเข้มแข็งและความเป็นเอกภาพในการดำเนินงานด้านประชาสัมพันธ์ของหน่วยงานในกระทรวงสาธารณสุขและสิ่อฯในจังหวัด
4.เพื่อขับเคลื่อนงานประชาสัมพันธ์ตามนโยบาย และยุทธศาสตร์ของกระทรวงสาธารณสุข และพัฒนาระบบการสื่อสารประชาสัมพันธ์ภายในองค์กรให้เป็นไปในทิศทางเดียวกัน
5. เพื่อระดมความคิดและพัฒนางานสื่อสารประชาสัมพีนธ์เข้าสู่เวทีวิชาการนำเสนอเขตสุขภาพที่ 10
</t>
  </si>
  <si>
    <t xml:space="preserve">คณะกรรมการสื่อสารและประชาสัมพันธ์จังหวัดอุบลราชธานี ปี2566 ร่วมกับประชาสัมพันธ์จังหวัดฯและINFLUencer สื่อมวลชนในพื้นที่จังหวัด จำนวน 1ครั้ง/ปี
จำนวน 80 คน
</t>
  </si>
  <si>
    <t xml:space="preserve">1.1 ค่าอาหารกลางวัน จำนวน 80 คน อัตราคนละ 70 บาท 1 มื้อ 
</t>
  </si>
  <si>
    <t>โครงการสื่อสารสร้างความรอบรู้ด้านสุขภาพแก่ประชาชนในทุกมิติ</t>
  </si>
  <si>
    <t xml:space="preserve">1. เพื่อประชาสัมพันธ์กิจกรรมต่าง ๆ รวมทั้งข่าวสารด้านสาธารณสุขให้ ปชช.ได้รับทราบผ่านรูปแบบระบบสื่อสารออนไลน์
2.เพื่อสร้างภาพลักษณ์และเจตคติที่ดีในงานสาธารณสุขต่อสื่อมวลชนและปชช.ในพื้นที่
3. เพื่อให้มีสื่อที่สนับสนุนให้ประชาชนเกิดความรอบรู้ด้านสุขภาพและสื่อสารทางเพลตฟอร์มในรูปแบบต่างๆ
4. เพื่อให้เกิดการสนับสนุนและความร่วมมือที่ดี สำเร็จตามความมุ่งหมายของหน่วยงาน
5. เพื่อสร้างช่องทาง/แนวทางในการสื่อสารแก่ประชุมชน อาทิ การแถลงข่าวสื่อมวลชน การจัดรายการวิทยุฯลฯ
</t>
  </si>
  <si>
    <t xml:space="preserve">คณะทำงาน และ(ผู้แทนบุคลากรสาธารณสุข) ผู้ทำหน้าที่จัดรายการวิทยุ/นักจัดรายการวิทยุหรือผู้ที่มีประสบการณ์การจัดรายการวิทยุ  50 คน
</t>
  </si>
  <si>
    <t xml:space="preserve">1. ค่าอาหารกลางวันจำนวน 50 คน อัตราคนละ 70 บาท 1 มื้อ 
 </t>
  </si>
  <si>
    <t>2. ค่าอาหารว่างและเครื่องดื่ม จำนวน 50 คน อัตราคนละ  25 บาท จำนวน 2 มื้อ</t>
  </si>
  <si>
    <t>โครงการผลิตสื่อนวัตกรรมการให้ความรู้แก่อสม.แบบออนไลน์</t>
  </si>
  <si>
    <t>1.เพื่อผลิตชุดความรู้ที่ อสม.สามารถนำไปปฏิบัติได้ในรูปแบบสื่อออนไลน์
2. สร้างชุดนวัตกรรมความรู้ในรูปแบบสื่อออนไลน์ (จากการระดมแนวคิด วิธีการผลิตและอุปกรณ์ในการดำเนินงานจากผู้มีความรู้ความสามารถเฉพาะด้านการผลิตสื่อประชาสัมพันธ์ในรูปแบบสื่อออนไลน์ )
3. เพื่อนำเสนอนวัตกรรม ผลงานเด่นของแต่ละพื้นที่เพื่อนำเสนอในที่ประชุมหน.ส่วนราชการระดับจังหวัดและระดับเขตสุขภาพที่ 10</t>
  </si>
  <si>
    <t>1.เจ้าหน้าที่ผู้รับผิดชอบ
งานสื่อสารประชาสัมพันธ์องค์กรที่ปฏิบัติงานในหน่วยงานดังนี้
1. สสจ.อบ.( ทุกกลุ่มงานที่เกี่ยวข้อง )
2. รพศ.
3. รพ.๕๐พรรษา
4. รพ.วารินชำราบ
5. รพ.ตระการพืชผล
6.สสอ.ตระการพืชผล
7. รพร.เดชอุดม
จำนวน 40 คน</t>
  </si>
  <si>
    <t xml:space="preserve">1.1 ค่าอาหารกลางวัน จำนวน 40 คน อัตราคนละ 70 บาท 1 มื้อ 
 </t>
  </si>
  <si>
    <t>1.2 ค่าอาหารว่างและเครื่องดื่ม จำนวน 2 มื้อๆละ 25 บาท จำนวน 40 คน</t>
  </si>
  <si>
    <t>โครงการแถลงข่าวสื่อมวลชน ปี 2566</t>
  </si>
  <si>
    <t>1. เพื่อประชาสัมพันธ์กิจกรรมต่าง ๆ รวมทั้งข่าวสารด้านสาธารณสุขให้ ปชช.ได้รับทราบ
2.เพื่อสร้างภาพลักษณ์และเจตคติที่ดีในงานสาธารณสุขต่อสื่อมวลชนและปชช.ในพื้นที่
3. เพื่อให้มีสื่อกลางในการเผยแพร่ข่าวสารและปชส.งานสาธารณสุข
4. เพื่อให้เกิดการสนับสนุนและความร่วมมือที่ดี สำเร็จตามความมุ่งหมายของหน่วยงาน</t>
  </si>
  <si>
    <t xml:space="preserve">สื่อมวลชนส่วนกลางและท้องถิ่น
ผู้บริหารของหน่วยงานสาธารณสุขในจังหวัดอุบลราชธานี
หน่วยงานที่เกี่ยวข้อง 
จำนวน 60คน 
4 ครั้ง/ปี
</t>
  </si>
  <si>
    <t xml:space="preserve">1. ค่าอาหารกลางวันจำนวน 60 คน อัตราคนละ 70 บาท 4 มื้อ 
 </t>
  </si>
  <si>
    <t>พรสิริ มณฑา
ศรีวรินทร์ ภูวนัตถศิริ</t>
  </si>
  <si>
    <t>2. ค่าอาหารว่างและเครื่องดื่ม จำนวน 60 คน อัตราคนละ  25 บาท จำนวน 8 มื้อ</t>
  </si>
  <si>
    <r>
      <t xml:space="preserve">1. เพื่อให้ฐานข้อมูล HDC จังหวัดอุบลฯ </t>
    </r>
    <r>
      <rPr>
        <b/>
        <u/>
        <sz val="14"/>
        <color theme="1"/>
        <rFont val="Angsana New"/>
        <family val="1"/>
      </rPr>
      <t>งานอนามัยแม่</t>
    </r>
    <r>
      <rPr>
        <b/>
        <sz val="14"/>
        <color theme="1"/>
        <rFont val="Angsana New"/>
        <family val="1"/>
      </rPr>
      <t xml:space="preserve"> มีความถูกต้อง สมบูรณ์ ใช้ข้อมูลได้จริง</t>
    </r>
  </si>
  <si>
    <r>
      <t>โครงการประเมินโรงเรียนส่งเสริมสุขภาพระดับเพชร จังหวัดอุบลราชธานี</t>
    </r>
    <r>
      <rPr>
        <b/>
        <sz val="14"/>
        <color rgb="FFFF0000"/>
        <rFont val="Angsana New"/>
        <family val="1"/>
      </rPr>
      <t xml:space="preserve"> ปี 2566</t>
    </r>
  </si>
  <si>
    <r>
      <t xml:space="preserve">ประเมินโรงเรียนส่งเสริมสุขภาพระดับเพชร </t>
    </r>
    <r>
      <rPr>
        <b/>
        <sz val="14"/>
        <color rgb="FFFF0000"/>
        <rFont val="Angsana New"/>
        <family val="1"/>
      </rPr>
      <t>จังหวัดอุบลราชธานี ปี 2566</t>
    </r>
  </si>
  <si>
    <r>
      <t xml:space="preserve">1.เพื่อพัฒนางานโรงเรียนส่งเสริมสุขภาพตามมาตรฐานโรงเรียนส่งเสริมสุขภาพที่ผ่านเกณฑ์การประเมินระคับทองยั้งยืน                   </t>
    </r>
    <r>
      <rPr>
        <b/>
        <sz val="14"/>
        <color rgb="FFFF0000"/>
        <rFont val="Angsana New"/>
        <family val="1"/>
      </rPr>
      <t xml:space="preserve">     </t>
    </r>
    <r>
      <rPr>
        <b/>
        <sz val="14"/>
        <rFont val="Angsana New"/>
        <family val="1"/>
      </rPr>
      <t xml:space="preserve">                                       </t>
    </r>
  </si>
  <si>
    <r>
      <t xml:space="preserve">
 - ค่าอาหารกลางวันจำนวน 1 มื้อ x   60 คน x 70 บาท x 4 รุ่น     
</t>
    </r>
    <r>
      <rPr>
        <b/>
        <sz val="14"/>
        <color rgb="FFFF0000"/>
        <rFont val="Angsana New"/>
        <family val="1"/>
      </rPr>
      <t xml:space="preserve">
</t>
    </r>
    <r>
      <rPr>
        <b/>
        <sz val="14"/>
        <rFont val="Angsana New"/>
        <family val="1"/>
      </rPr>
      <t xml:space="preserve">
  </t>
    </r>
  </si>
  <si>
    <r>
      <t xml:space="preserve">
</t>
    </r>
    <r>
      <rPr>
        <b/>
        <sz val="14"/>
        <color theme="1"/>
        <rFont val="Angsana New"/>
        <family val="1"/>
      </rPr>
      <t xml:space="preserve"> - ค่าอาหารกลางวันจำนวน 50 คน</t>
    </r>
    <r>
      <rPr>
        <b/>
        <sz val="14"/>
        <rFont val="Angsana New"/>
        <family val="1"/>
      </rPr>
      <t xml:space="preserve"> x 70 บาท x 1 มื้อ x 4 ครั้ง</t>
    </r>
  </si>
  <si>
    <t xml:space="preserve"> ภารกิจประจำ / พื้นฐาน</t>
  </si>
  <si>
    <t>ตัวชี้วัด .................................14,15.............................................................................</t>
  </si>
  <si>
    <t>ความเชื่อมโยงแผนงาน</t>
  </si>
  <si>
    <t xml:space="preserve"> E</t>
  </si>
  <si>
    <t>โครงการขับเคลื่อนกฎหมายควบคุม โรคจากการประกอบอาชีพและโรคจากสิ่งแวดล้อม จังหวัดอุบลราชธานี ปีงบประมาณ 2566</t>
  </si>
  <si>
    <t xml:space="preserve">นางจุฬาพร คำรัตน์ </t>
  </si>
  <si>
    <t xml:space="preserve"> 13.1 ประชุมคณะกรรมการควบคุมโรคจากการประกอบอาชีพและโรคจากสิ่งแวดล้อมจังหวัดอุบลราชธานี </t>
  </si>
  <si>
    <t>เพื่อให้มีการขับเคลื่อนการเฝ้าระวังป้องกันควบคุมโรคจากการประกอบอาชีพและโรคจากสิ่งแวดล้อมโดยคณะกรรมการฯ จังหวัด</t>
  </si>
  <si>
    <t>คณะกรรมการควบคุมโรคจากการประกอบอาชีพและโรคจากสิ่งแวดล้อมจังหวัดอุบลราชธานี /จัดประชุม 1 ครั้งต่อปี</t>
  </si>
  <si>
    <t>√</t>
  </si>
  <si>
    <t xml:space="preserve"> - เบี้ยประชุมประธาน 800 บ.* 1 ครั้ง รวม 800 บ.
</t>
  </si>
  <si>
    <t xml:space="preserve"> - เบี้ยประชุมกรรมการฯ (19 คน * 500 บ.* 1 ครั้ง รวม 9,500 บ. )</t>
  </si>
  <si>
    <t xml:space="preserve"> - ค่าอาหารว่างและเครื่องดื่ม (35 คน * 25 บ. * 1 ครั้ง)</t>
  </si>
  <si>
    <t xml:space="preserve"> 13.2 ประชุมเชิงปฏิบัติการเพื่อพัฒนาศักยภาพเครือข่าย    ด้านการควบคุมโรคจากการประกอบอาชีพและ
โรคจากสิ่งแวดล้อม</t>
  </si>
  <si>
    <t>เพื่อพัฒนาศักยภาพของหน่วยปฏิบัติการ พนักงานเจ้าหน้าที่ และเครือข่ายในการเฝ้าระวังป้องกันควบคุมโรคจากการประกอบอาชีพและโรคจากสิ่งแวดล้อม</t>
  </si>
  <si>
    <t>ประชุม 1 ครั้ง จำนวน 25 คน</t>
  </si>
  <si>
    <t xml:space="preserve"> - ค่าอาหาร (25 คน * 70 บ. * 1 มื้อ)</t>
  </si>
  <si>
    <t xml:space="preserve"> - ค่าอาหารว่างและเครื่องดื่ม (25 คน * 25 บ. * 1 มื้อ)</t>
  </si>
  <si>
    <t xml:space="preserve"> - ค่าสมนาคุณวิทยากร (600 บ. * 2 ชม. * 2 ครั้ง)</t>
  </si>
  <si>
    <t xml:space="preserve"> 13.3 จัดทำบัตรพนักงานเจ้าหน้าที่ ตาม พ.ร.บ.</t>
  </si>
  <si>
    <t>เพื่อให้พนักงานเจ้าหน้าที่ มีบัตรตาม พ.ร.บ.</t>
  </si>
  <si>
    <t>จำนวน 200 ใบ</t>
  </si>
  <si>
    <t xml:space="preserve"> - ค่าจัดจ้างทำบัตร 200 ใบ* 10 บาท</t>
  </si>
  <si>
    <t>โครงการพัฒนาการจัดบริการอาชีวอนามัยและเวชกรรมสิ่งแวดล้อม จังหวัดอุบลราชธานี ปีงบประมาณ 2566</t>
  </si>
  <si>
    <t>เพื่อให้หน่วยบริการสุขภาพ มีมาตรฐานในการดูแลสุขภาพของบุคลากรสาธารณสุข กลุ่มแรงงานในระบบ, แรงงานนอกระบบ และผู้ได้รับผลกระทบจากมลพิษสิ่งแวดล้อม</t>
  </si>
  <si>
    <t>1.รพศ./รพท./รพ.M2 ทุกแห่งผ่านเกณฑ์มาตรฐานฯ ระดับดี
2. รพ.F1,F2F3 ทุกแห่งผ่านเกณฑ์มาตรฐานฯ ระดับเริ่มต้นพัฒนา</t>
  </si>
  <si>
    <t>14.1 ประชุมเชิงปฏิบัติการเพื่อพัฒนาการจัดบริการอาชีวอนามัยและเวชกรรมสิ่งแวดล้อม</t>
  </si>
  <si>
    <t>เพื่อพัฒนาศักยภาพจนท.ในการดำเนินงานจัดบริการอาชีวอนามัยและเวชกรรมสิ่งแวดล้อม</t>
  </si>
  <si>
    <t>จนท.รพ. /สสอ. จำนวน 40 คน จำนวน 1 วัน</t>
  </si>
  <si>
    <t xml:space="preserve"> - ค่าอาหารกลางวัน  70 บ. * 40 คน* 1 มื้อ</t>
  </si>
  <si>
    <t xml:space="preserve"> - ค่าอาหารว่างและเครื่องดื่ม 25 บ. * 40 คน* 2 มื้อ</t>
  </si>
  <si>
    <t xml:space="preserve"> - ค่าสมนาคุณวิทยากร 600 บ. * 5 ชม.*1 วัน*1คน</t>
  </si>
  <si>
    <t>14.2 อบรมเจ้าหน้าที่สาธารณสุขหลักสูตรการดับเพลิงเบื้องต้น</t>
  </si>
  <si>
    <t>เพื่อให้บุคลากรใน สสจ.อบ. มีความรู้ความสามารถในการดับเพลิงเบื้องต้น</t>
  </si>
  <si>
    <t>บุคลากรใน สสจ.อบ.จำนวน 50 คน</t>
  </si>
  <si>
    <t>ค่าอาหาร 50 คน* 70 บาท*1 มื้อ</t>
  </si>
  <si>
    <t>ค่าวิทยากรบรรยาย 600 บ* 2 ชม*1 คน (ทีม ทน.อุบลฯ)</t>
  </si>
  <si>
    <t>ค่าวิทยากรกลุ่ม 600 บ*2 ชม*2 คน *2 กลุ่ม (ทีม ทน.อุบลฯ)</t>
  </si>
  <si>
    <t xml:space="preserve">โครงการประชุมเชิงปฏิบัติการระบบบ่อบำบัดสิ่งปฏิกูล    </t>
  </si>
  <si>
    <t>1.สร้างความรอบรู้เรื่องovcca         2.ศึกษาระบบบ่อสิ่งปฎิกูล 3.ภาคีเดรือข่ายขับเคลื่อนงานระบบบำบัดสิ่งปฏิกูล</t>
  </si>
  <si>
    <t>อปท. นว.สสอ./รพ /ผปก./สมัชชาสุขภาพ     จำนวน 60 คน</t>
  </si>
  <si>
    <t>นายสุรทิน หมื่นอินทร์</t>
  </si>
  <si>
    <t xml:space="preserve">ค่าอาหารกลางวัน1มื้อ*70บ*60 คน 1 วัน  </t>
  </si>
  <si>
    <t>ค่าอาหารว่าง 1มื้อ *25บ.*60คน</t>
  </si>
  <si>
    <t>ค่าวิทยากร 3 ชม. ๆละ 600 บาท</t>
  </si>
  <si>
    <t>ค่าจ้างเหมารถ 2คัน ๆละ1,800 บาท</t>
  </si>
  <si>
    <t xml:space="preserve">โครงการจังหวัดสะอาด การจัดการขยะและสิ่งปฏิกูล </t>
  </si>
  <si>
    <t>1.ขับเคลื่อนยุทธศาตร์จังหวัดสะอาด ด้านขยะและสิ่งปฏิกูล      2.การจัดการมูลฝอยติดเชื้อในสถานบริการ</t>
  </si>
  <si>
    <t>อสม./แกนนำสุขภาพ อปท./สสอ./รพ       จำนวน 60 คน</t>
  </si>
  <si>
    <t xml:space="preserve">ค่าอาหารกลาง 70*60 คน 1 วัน    </t>
  </si>
  <si>
    <t xml:space="preserve">โครงการพัฒนาระบบบบริการงานอนามัยสิ่งแวดล้อมอปท. </t>
  </si>
  <si>
    <t>1.สร้างภาคีเครือข่ายมีคุณภาพมาตรฐานบริการ   2.พัฒนาวิชาการอปท.และแลกเปลี่ยนเรียนรู้     3.สร้างขวัญ กำลังใจอปท.ผู้รับผิดชอบงาน</t>
  </si>
  <si>
    <t xml:space="preserve">ครูก. จำนวน 40คน </t>
  </si>
  <si>
    <t xml:space="preserve">ค่าอาหารกลางวัน 70 บ.*40คน*1มื้อ    </t>
  </si>
  <si>
    <t>ค่าอาหารว่าง 2มื้อ *25บ.*40คน</t>
  </si>
  <si>
    <t>ค่าเบี้ยเลี้ยง 120 *15 วัน * 3 คน</t>
  </si>
  <si>
    <t>ค่าน้ำมันเชื้อเพลิงการออกปฏิบัติงาน เป็นเงิน 2,040บ</t>
  </si>
  <si>
    <r>
      <t xml:space="preserve">โครงการจิตอาสารณรงค์รักษาความสะอาดและสิ่งแวดล้อม </t>
    </r>
    <r>
      <rPr>
        <sz val="16"/>
        <color rgb="FF002060"/>
        <rFont val="TH SarabunPSK"/>
        <family val="2"/>
      </rPr>
      <t xml:space="preserve"> </t>
    </r>
    <r>
      <rPr>
        <sz val="16"/>
        <rFont val="TH SarabunPSK"/>
        <family val="2"/>
      </rPr>
      <t xml:space="preserve"> </t>
    </r>
  </si>
  <si>
    <t>1.ตามโครงการพระราชดำริจัดสัปดาห์รณรงค์ทำความสะอาดในสำนักงาน/ นอกสำนัก เป้าหมาย วัด โรงเรียน ตลาด ชุมชน 2.สร้างจิตสำนึกความสำนึกในสถาบันและในองค์กร</t>
  </si>
  <si>
    <t>จนท. อสม. ภาคีเครือข่าย จำนวน 30 คน</t>
  </si>
  <si>
    <t xml:space="preserve">ค่าวัสดุทำความสะอาด 5000 บ. </t>
  </si>
  <si>
    <t>โครงการเฝ้าระวัง ป้องกัน ควบคุมโรคและภัยสุขภาพจากการประกอบอาชีพและสิ่งแวดล้อม จังหวัดอุบลราชธานี ปีงบประมาณ 2566</t>
  </si>
  <si>
    <t>น.ส.ทฤตมน  ทองเรือง</t>
  </si>
  <si>
    <t>1. เฝ้าระวัง ป้องกันควบคุมโรคและภัยสุขภาพจากการสัมผัสสารเคมีทางการเกษตร โดยการตรวจคัดกรองเกษตรกรและประเมินความเสี่ยง พร้อมทั้งค้นหาและสนับสนุนให้มี อสม./เกษตรกร ต้นแบบเกษตรอินทรีย์</t>
  </si>
  <si>
    <t>เพื่อเฝ้าระวัง ป้องกัน ควบคุมโรคจากการประกอบอาชีพและโรคจากสิ่งแวดล้อม (ภาคเกษตรกรรม)</t>
  </si>
  <si>
    <t>สสอ. 25 แห่ง
รพ. 25 แห่ง</t>
  </si>
  <si>
    <t xml:space="preserve">กระดาษทดสอบโคลีนเอสเตอเรส 100 ขวด*321 บ. </t>
  </si>
  <si>
    <t>บุคลากรต้นแบบ</t>
  </si>
  <si>
    <t>ค่าวัสดุจัดทำใบประกาศ 50 คน*20บ.</t>
  </si>
  <si>
    <t>2. ตอบโต้ภาวะฉุกเฉินด้านสารเคมี กัมมันตรังสีและนิวเคลียร์ โดยการการอบรม ครู ก หลักสูตรตอบโต้ภาวะฉุกเฉินด้านสารเคมีจังหวัดอุบลราชธานี ต่อเนื่องจากปี 2565 (Online และ Onsite) พร้อมซ้อมแผนตอบโต้ภาวะฉุกเฉิน</t>
  </si>
  <si>
    <t xml:space="preserve">ขับเคลื่อนงานกฎอนามัยระหว่างประเทศ (International Health Regulations : IHR) ด้านสารเคมี กัมมันตรังสีและนิวเคลียร์ </t>
  </si>
  <si>
    <t>นว.ผู้รับผิดชอบงานอนามัยสิ่งแวดล้อมฯ สสอ.และ รพ. และเครือข่าย จำนวน 60 คน</t>
  </si>
  <si>
    <t>ค่าอาหารกลางวัน 70บ.*60คน</t>
  </si>
  <si>
    <t>ค่าอาหารว่างและเครื่องดื่ม 25บ.*60คน</t>
  </si>
  <si>
    <t>ค่าวิทยากรกลุ่ม 600บ.*4ชม* 4คน  (สคร.10อบ. ปภ.รพ.สปส.) ขอเบิกเพียง 8,400 บาท</t>
  </si>
  <si>
    <t xml:space="preserve">ค่าวิทยากรบรรยาย 600บ. * 1ชม * 1คน </t>
  </si>
  <si>
    <t>3. เฝ้าระวัง ป้องกัน ควบคุมโรคมลพิษทางอากาศ โดยการนิเทศ ติดตาม ประเมินผล และสื่อสารความเสี่ยง</t>
  </si>
  <si>
    <t>เพื่อเฝ้าระวัง ป้องกันและควบคุมโรคที่สัมพันธ์กับ PM 2.5</t>
  </si>
  <si>
    <t xml:space="preserve"> 25 อำเภอ</t>
  </si>
  <si>
    <t>ค่าเบี้ยเลี้ยงและค่าใช้จ่ายในการไปราชการ 120 บ*3 คน*10 ครั้ง</t>
  </si>
  <si>
    <t>4. พัฒนาการจัดบริการอาชีวอนามัยและเวชกรรมสิ่งแวดล้อมในโรงพยาบาลส่งเสริมสุขภาพตำบล (Online และ Onsite) พร้อมทั้งนิเทศ ติดตาม ประเมินผลตามมาตรฐานฯ</t>
  </si>
  <si>
    <t>เพื่อพัฒนาศักยภาพ ครู ก.ในการดำเนินงานจัดบริการอาชีวอนามัยและเวชกรรมสิ่งแวดล้อม ตามเกณฑ์มาตรฐานฯ</t>
  </si>
  <si>
    <t>จนท.รพ., สสอ., รพ.สต. จำนวน 60 คน*1รุ่น</t>
  </si>
  <si>
    <t>ค่าอาหารกลางวัน 70บ.*60คน*1รุ่น</t>
  </si>
  <si>
    <t>ค่าอาหารว่างและเครื่องดื่ม 25บ.*60คน*1รุ่น</t>
  </si>
  <si>
    <t>ค่าวิทยากร 600บ*5ชม (สคร.10อบ., รพ.สต.ต้นแบบ)</t>
  </si>
  <si>
    <t>ค่าวัสดุจัดทำใบประกาศ 200 คน ๆ ละ 20 บาท</t>
  </si>
  <si>
    <t>ค่าเบี้ยเลี้ยงและค่าใช้จ่ายในการไปราชการ (บูรณาการร่วมกับกิจกรรมที่ 3)</t>
  </si>
  <si>
    <t xml:space="preserve">ค่าน้ำมันเชื้อเพลิงการออกปฏิบัติงาน </t>
  </si>
  <si>
    <t xml:space="preserve">โครงการพัฒนาสถานที่จำหน่ายอาหารตามเกณฑ์มาตรฐานด้านกฎหมาย  </t>
  </si>
  <si>
    <t>1.เพื่อให้สถานที่จำหน่ายอาหารผ่านเกณฑ์มาตรฐานตามกฎหมายกำหนด    2.เพื่อสร้างการรับรู้และบูรณาการความร่วมมือภาคีเครือข่ายในการยกระดับร้านอาหารมาตรฐาน 3.เพื่อพัฒนาศักยภาพเจ้าหน้าที่หน่วยการจัดอบรมหลักสูตรสุขาภิบาลตามกฎหมาย</t>
  </si>
  <si>
    <t xml:space="preserve">จนท (อปท /สสอ /รพ / รพสต/ หน่วยงานภาคีเครือข่ายตลอดห่วงโซ่อาหาร) ผู้ประกอบการ  อำเภอเขมราฐ นาตาล ศรีเมืองใหม่ โพธิ์ไทร โขงเจียม สิรินธร พิบูลมังสาหาร จำนวน 2 รุ่นๆละ 100 คน  </t>
  </si>
  <si>
    <t>นางสิริพร  แก้วมหาวงศ์</t>
  </si>
  <si>
    <t xml:space="preserve">ค่าอาหารกลางวัน 70บ.* 100 คน* 2 รุ่น </t>
  </si>
  <si>
    <t>ค่าอาหารว่างและเครื่องดื่ม 25บ.*100*2รุ่น</t>
  </si>
  <si>
    <t>ค่าวิทยากร 600บ*4ชม.*2 รุ่น</t>
  </si>
  <si>
    <t>ค่าจัดทำวุฒิบัตร 20 บ* 200 ใบ</t>
  </si>
  <si>
    <t>ค่าจัดซื้อชุดตรวจแบคทีเรียในอาหารและน้ำ 20บ*3,000ชุด</t>
  </si>
  <si>
    <t xml:space="preserve">โครงการจัดการสุขาภิบาลอาหารด้านอาหารปลอดภัยต้นแบบ(อาหารริมบาทวิถี ตลาดนัด ร้านอาหาร) ปี2566 </t>
  </si>
  <si>
    <t>1.เพื่อให้มีการขับเคลื่อนการดำเนินงานอาหารปลอดภัยต้นแบบ      2.เพื่อให้สถานประกอบกิจการอาหารมีการพัฒนาด้านสุขลักษณะตามเกณฑ์มาตรฐาน โดยเน้นสถานที่จำหน่ายอาหารในพื้นที่ท่องเที่ยวของจังหวัดเพื่อรองรับการท่องเที่ยววิถีใหม่</t>
  </si>
  <si>
    <t>จนท สธ (สสอ/ รพ/รพสต) อปท ชมรมฯ ผู้ประกอบการ เป้าหมายส่งเสริมการท่องเที่ยว         จำนวน 100 คน</t>
  </si>
  <si>
    <t>ค่าอาหารกลางวัน70บ.*100คน*1มื้อ</t>
  </si>
  <si>
    <t>ค่าอาหารว่างและเครื่องดื่ม 25บ.*100คน*2มื้อ</t>
  </si>
  <si>
    <t xml:space="preserve">โครงการพัฒนาอนามัยสิ่งแวดล้อมตามเกณฑ์ GREEN&amp;CLEAN  </t>
  </si>
  <si>
    <t xml:space="preserve">เพื่อบริหารจัดการอนามัยสิ่งแวดล้อมในสถานพยาบาล </t>
  </si>
  <si>
    <t>สสอ. 25 แห่ง/รพ.สต.317 แห่ง
รพ. 29 แห่ง</t>
  </si>
  <si>
    <t>นางปิยะนุช คันศร</t>
  </si>
  <si>
    <t xml:space="preserve">1. Coaching รพ.และ รพ.สต. ที่จะเตรียมรับการประเมิน GC Challenge  รวมทั้งรพ.ที่จะเตรียม Re ac HA </t>
  </si>
  <si>
    <t>1.เพื่อให้มีการพัฒนาการดำเนินงานอย่างต่อเนื่องและมีการบูรณาการงานร่วมกัน</t>
  </si>
  <si>
    <t xml:space="preserve">รพ.ที่จะรับ Re Ac HA และ รพ./รพ.สต.    ที่เตรียมรับประเมิน GC Challenge </t>
  </si>
  <si>
    <t>เบี้ยเลี้ยง 5คน*10วัน*120บ.</t>
  </si>
  <si>
    <t xml:space="preserve">2. ประชุมชี้แจงการดำเนินงานและการประเมิน GREEN&amp;CLEAN  </t>
  </si>
  <si>
    <t>1.เพื่อชี้แจงเกณฑ์และการประเมินการดำเนินงานอนามัยสิ่งแวดล้อม</t>
  </si>
  <si>
    <t>สสอ. 25 แห่ง/รพ. 29 แห่ง</t>
  </si>
  <si>
    <t>ค่าอาหารกลางวัน70บ.*50คน*1วัน</t>
  </si>
  <si>
    <t>ค่าอาหารว่างและเครื่องดื่ม 25บ.*50คน*1วัน</t>
  </si>
  <si>
    <t xml:space="preserve">3. ตรวจประเมิน GREEN&amp;CLEAN </t>
  </si>
  <si>
    <t>1.เพื่อออกประเมินโรงพยาบาล GREEN&amp;CLEAN รพ./รพ.สต</t>
  </si>
  <si>
    <t>1.พัฒนาศักยภาพการจัดการน้ำเสียโรงพยาบาล</t>
  </si>
  <si>
    <t xml:space="preserve">จนท.ผู้รับผิดชอบงานอนามัยสิ่งแวดล้อม </t>
  </si>
  <si>
    <t>ค่าลงทะเบียน 3,000บ.</t>
  </si>
  <si>
    <t xml:space="preserve">ค่าใช้จ่ายเดินทางไปราชการ (เบี้ยเลี้ยง ค่าที่พัก ค่าพาหนะ ) </t>
  </si>
  <si>
    <t>ค่าน้ำมันเชื้อเพลิงการออกปฏิบัติงาน เป็นเงิน 5,456 บาท</t>
  </si>
  <si>
    <t xml:space="preserve">โครงการ 5 ส. พัฒนาสถานที่ทำงานน่าอยู่ น่าทำงาน </t>
  </si>
  <si>
    <t>1. กิจกรรมประชุมคณะกรรมการ 5 ส. 4 ครั้ง/ปี</t>
  </si>
  <si>
    <t>1.เพื่อขับเคลื่อนการดำเนินงาน 5 ส.ให้เป็นรูปธรรม</t>
  </si>
  <si>
    <t>คณะกรรมการ 5 ส. สสจ.อบ.</t>
  </si>
  <si>
    <t>ค่าอาหารว่างและเครื่องดื่ม 25บ. * 4 วัน จำนวน 20 คน</t>
  </si>
  <si>
    <t xml:space="preserve">2. กิจกรรม Big Cleaning Day เนื่องในวันสำคัญต่างๆ  </t>
  </si>
  <si>
    <t xml:space="preserve">1.เพื่อให้ จนท.ได้ร่วมกิจกรรม 5 ส.ส่งเสริมให้สถานที่ทำงานน่าอยู่น่าทำงานมีความสะอาดปลอดภัย
2.เพื่อปรับปรุงภูมิทัศน์ของสำนักงานให้สะอาดร่มรื่น </t>
  </si>
  <si>
    <t>จนท.สสจ.อบ</t>
  </si>
  <si>
    <t>ค่าอาหารกลางวัน70บ.*100คน*2วัน</t>
  </si>
  <si>
    <t>ค่าอาหารว่างและเครื่องดื่ม 25บ.*100คน*2วัน</t>
  </si>
  <si>
    <t xml:space="preserve">3. เกียตรติบัตรการพัฒนาสถานที่ทำงานน่าอยู่น่าทำงาน </t>
  </si>
  <si>
    <t>4. วัสดุอุปกรณ์ในการทำน้ำยาเอนกประสงค์</t>
  </si>
  <si>
    <t>เพื่อลดการใช้สารเคมีในสำนักงาน</t>
  </si>
  <si>
    <t>ค่าวัสดุในการจัดทำน้ำยาเอนกประสงค์</t>
  </si>
  <si>
    <t xml:space="preserve">โครงการตรวจประเมินมาตรฐานสถานประกอบการ ด้านอนามัยสิ่งแวดล้อมและอาชีวอนามัย </t>
  </si>
  <si>
    <t>เพื่อพัฒนาระบบการสุขาภิบาลสิ่งแวดล้อมและความปลอดภัยให้ได้มาตรฐาน</t>
  </si>
  <si>
    <t>1โรงฆ่าสัตว์ จำนวน 86 แห่ง *7วัน
2.บ่อนไก่ จำนวน 29 แห่ง*5วัน
3.โรงแรม 219 แห่ง *10วัน
4.สถานบริการ พ.ศ. 14 แห่ง *3วัน
5.หอพัก  984 แห่ง*3วัน
6.สุราชุมชน 43 แห่ง *7วัน
7.โรงมหรสพ 43 แห่ง*3วัน
8.ร้านเกม 172 จำนวน *2วัน     
9.สถานที่คล้ายสถานบริการ 342 แห่ง*6วัน *OT 30วัน</t>
  </si>
  <si>
    <t>นายสนธยา  การะเกษ</t>
  </si>
  <si>
    <t xml:space="preserve">1.เบี้ยเลี้ยง จนท. ออกตรวจประเมิน 120บ*4คน*35วัน  รวม 19200บ
(ออกประเมิน 4วัน/เดือน) </t>
  </si>
  <si>
    <t xml:space="preserve"> 2.ค่าปฏิบัติงานนอกเวลาราชการ 2คน*30วัน*5ชม.ๆละ60 บาท รวม18000บาท</t>
  </si>
  <si>
    <t>3. ค่าน้ำมัน</t>
  </si>
  <si>
    <t xml:space="preserve">โครงการสอบเทียบเครื่องมือ (เครื่องตรวจวัดคุณภาพสิ่งแวดล้อมภาคสนาม) </t>
  </si>
  <si>
    <t>ให้เครื่องมือที่ทำการตรวจวัดได้ตามมาตรฐานตามที่กฏหมายกำหนด เจ้าหน้าที่ใช้เครื่องมือได้ถูกต้องตามมาตรฐาน</t>
  </si>
  <si>
    <t xml:space="preserve">เครื่องมือตรวจวัดภาคสนาม
1.เครื่องตรวจวัดเสียง
</t>
  </si>
  <si>
    <t xml:space="preserve">1.ค่าสอบเทียบเครื่องมือ 15000บาท </t>
  </si>
  <si>
    <t>2.ค่าใช้จ่ายเดินทางรับอุปกรณ์ 9,000 บาท *2รอบ (ขาไป-กลับ)</t>
  </si>
  <si>
    <t xml:space="preserve">โครงการขับเคลื่อนงานอนามัยสิ่งแวดล้อมภายใต้คณะกรรมการสาธารณสุขจังหวัดอุบลราชธานี ปีงบประมาณ 2566 </t>
  </si>
  <si>
    <t>ว่าที่ ร.ต.พีรวัส สุขเลิศ</t>
  </si>
  <si>
    <t>1.1 การประชุมคณะกรรมการสาธารณสุขจังหวัดอุบลราชธานี</t>
  </si>
  <si>
    <t>ขับเคลื่อนกลไกการจัดการด้านอนามัยสิ่งแวดล้อมขององค์กรปกครองส่วนท้องถิ่นภายใต้กฎหมายสาธารณสุข</t>
  </si>
  <si>
    <t>คสจ.อบ. 23 คน
ผู้ให้ข้อมูล/สังเกตการณ์ 17 คน</t>
  </si>
  <si>
    <t>1.เบี้ยประชุมประธาน 800บ*2ครั้ง รวม 1,600บ</t>
  </si>
  <si>
    <t xml:space="preserve">2.เบี้ยประชุมกรรมการฯ 22คน*500บ*2ครั้ง รวม 22,000บ </t>
  </si>
  <si>
    <t>3.ค่าอาหารว่างและเครื่องดื่มคณะกรรมการและผู้เข้าร่วมประชุม 40ค*25บ*2ครั้ง เป็นเงิน 2,000บ</t>
  </si>
  <si>
    <t>4.ค่าเอกสารประกอบการประชุม 20บาท*40คน*2ครั้ง</t>
  </si>
  <si>
    <t>1.2 การประชุมคณะกรรมการเปรียบเทียบคดี</t>
  </si>
  <si>
    <t>เปรียบเทียบคดีตาม พรบ.การสาธารณสุข พ.ศ.2535และที่ปรับปรุงเพิ่มเติม</t>
  </si>
  <si>
    <t>คณะกรรมการเปรียบเทียบและเลขานุการ 6 คน ผู้เข้าร่วมประชุม 10 คน</t>
  </si>
  <si>
    <t>1.เบี้ยประชุมประธาน 800บ* 3 ครั้ง เป็นเงิน 2,400บาท</t>
  </si>
  <si>
    <t>2.เบี้ยประชุมคณะกรรมการ 500บ/คน* 5 คน*3 ครั้ง เป็นเงิน 7,500บ</t>
  </si>
  <si>
    <t>3.ค่าอาหารว่างและเครื่องดื่มคณะกรรมการและผู้เข้าร่วมประชุม 25 บ.*16 คน*3ครั้ง เป็นเงิน 1,200บ</t>
  </si>
  <si>
    <t xml:space="preserve">4.เอกสารประชุม 20บ*16ชุด*3 ครั้ง   </t>
  </si>
  <si>
    <t>1.3 ประชุมเชิงปฏิบัติการเครือข่ายผู้รับผิดชอบงานอนามัยสิ่งแวดล้อมฯระดับอำเภอ</t>
  </si>
  <si>
    <t xml:space="preserve"> ติดตาม ควบคุม กำกับการดำเนินงานอนามัยสิ่งแวดล้อมฯระดับพื้นที่ตามยุทธศาสตร์/แผนงงาน/โครงการ จำนวน 4 ครั้ง</t>
  </si>
  <si>
    <t>พื้นที่เป้าหมาย และหน่วยงานที่เกี่ยวข้องทุกแห่ง</t>
  </si>
  <si>
    <t>1.ค่าอาหารกลางวัน 70 บาท* 70 คน * 2วัน เป็นเงิน  9,800บ</t>
  </si>
  <si>
    <t>2.ค่าอาหารว่างและเครื่องดื่ม 25บาท*70คน*1 มื้อ *2วัน</t>
  </si>
  <si>
    <t>3.เอกสารประชุม 20บาท*70คน*2ครั้ง  เป็นเงิน 2800 บาท</t>
  </si>
  <si>
    <t>4.เบี้ยเลี้ยงจนท.ที่ออกปฏิบัติงานตามข้อสั่งการ/มติของ คสจ.อบ.  120บาท*3คน*15 วัน   เป็นเงิน 5,400 บาท</t>
  </si>
  <si>
    <t>5.ค่าน้ำมันเชื้อเพลิงการออกปฏิบัติงานตามข้อสั่งการ/มติของ คสจ. เป็นเงิน 12,052 บาท</t>
  </si>
  <si>
    <t xml:space="preserve">4. พัฒนาศักยภาพบุคคลากรด้านอนามัยสิ่งแวดล้อม   </t>
  </si>
  <si>
    <t>เพื่อให้จังหวัดอุบลราชธานีมีการดำเนินงานตาม พ.ร.บ.ควบคุมโรคจาก
การประกอบอาชีพและโรคจากสิ่งแวดล้อม พ.ศ. 2562 ได้อย่างมีประสิทธิภาพและเป็นต้นแบบตามที่กรมควบคุมโรคกำหนด</t>
  </si>
  <si>
    <t>อวล.</t>
  </si>
  <si>
    <t>จนท.งาน ANC+LR+PP+นวก.ส่งเสริมฯ จำนวน 100 คน</t>
  </si>
  <si>
    <t>1. เพื่อให้เจ้าหน้าที่ผู้รับผิดชอบงานนำไปใช้ได้ถูกต้องเป็นและเกิดรูปธรรม ที่ชัดเจนในงาน</t>
  </si>
  <si>
    <t xml:space="preserve">โครงการ มหัศจรรย์ ๑,๐๐๐ วันแรกแห่งชีวิต รอบรั้ว ล้อมรัก อุ่นไอรัก สายใย สื่อสาร เด็กไทยพัฒนาการสมวัย IQ ดี (ช่วงที่ 2) เพื่อการเสริมสร้างด้านสติปัญญา อารมณ์ ด้วยวินัยเชิงบวก 
</t>
  </si>
  <si>
    <r>
      <t>ประชุมการจัดทำข้อมูลงานอนามัยแม่และเด็ก HDC กับ ก.2 ให้มีคุณภาพ ถูกต้อง</t>
    </r>
    <r>
      <rPr>
        <b/>
        <sz val="14"/>
        <color rgb="FFFF0000"/>
        <rFont val="Angsana New"/>
        <family val="1"/>
      </rPr>
      <t xml:space="preserve"> </t>
    </r>
  </si>
  <si>
    <t>2.เพื่อเป็นเวทีถ่ายทอดนโยบาย และกระบวนการดำเนินงาน</t>
  </si>
  <si>
    <t xml:space="preserve"> 1.เพื่อขับเคลื่อนงานส่งเสริมสุขภาพตามกลุ่มวัยให้เป็นไปในทิศทางเดียวกันและมีประสิทธิภาพ                </t>
  </si>
  <si>
    <t xml:space="preserve"> 3.เพื่อติดตามรายงานผลการดำเนินงาน</t>
  </si>
  <si>
    <t>โครงการพัฒนาศักยภาพบุคลากรด้านระบาดวิทยาและการเฝ้าระวัง สอบสวนโรค  ปีงบประมาณ 2566</t>
  </si>
  <si>
    <t>1.1 ประชุมเชิงปฏิบัติการการใช้โปรแกรมระบาดวิทยา R506 และการวิเคราะห์ข้อมูล</t>
  </si>
  <si>
    <t>เพื่อพัฒนาเจ้าหน้าที่ระบาดวิทยาระดับอำเภอใหม่ ให้จัดทำฐานข้อมูลได้ถูกต้อง (รง.506-หัด-AFP)</t>
  </si>
  <si>
    <t>ผู้รับผิดชอบงานระบาดวิทยาอำเภอ  70 คน
 (1 วัน)</t>
  </si>
  <si>
    <t>1.ค่าอาหารกลางวัน จำนวน 
70 คน * 70 บาท  x 1 วัน</t>
  </si>
  <si>
    <t xml:space="preserve">ประพนธ์/อุดม </t>
  </si>
  <si>
    <t>2.ค่าอาหารว่างและเครื่องดื่ม จำนวน 70 คน * 25 บาท *2 มื้อ</t>
  </si>
  <si>
    <t>3.ค่าตอบแทนวิทยากร (จากส่วนภูมิภาค)  จำนวน 2 คน * 3 ชม.ๆ ละ 600 บาท</t>
  </si>
  <si>
    <t>1.2 นิเทศกำกับติดตาม การส่งข้อมูลผ่าน API ของ Digital 506 และ Choaching รายอำเภอ</t>
  </si>
  <si>
    <t>ออกนิเทศติดตาม เพื่อCoaching และกำกับติดตาม การส่งข้อมูลผ่าน API ของ Digital 506 รายอำเภอ และติดตามการส่งตัวอย่างโรคหัดและ AFP</t>
  </si>
  <si>
    <t>เพื่อChoaching และกำกับติดตาม การส่งข้อมูลผ่าน API ของ Digital 506 รายอำเภอ และติดตามการส่งตัวอย่างโรคหัดและ AFP</t>
  </si>
  <si>
    <t>บูรณาการกับการนิเทศงานผสมผสาน</t>
  </si>
  <si>
    <t xml:space="preserve">1.3 เฝ้าระวัง สอบสวน และควบคุมโรคที่ต้องเฝ้าระวังทางระบาดวิทยา และ ประเมินระบบเฝ้าระวังกล้ามเนื้ออ่อนปวกเปียกแบบเฉียบพลัน และ โรคหัด </t>
  </si>
  <si>
    <t>ออกสอบสวนโรค และเก็บตัวอย่างส่งตรวจ เมื่อมีการระบาดของโรคติดต่อ โรคอุบัติใหม่ ตามเกณฑ์ของกรมควบคุมโรค และออกทำ Active search ค้นหาผู้ป่วยกลุ่มอาการกล้ามเนื้ออ่อนปวกเปียกแบบเฉียบพลันและโรคหัด</t>
  </si>
  <si>
    <t xml:space="preserve">25 อำเภอ </t>
  </si>
  <si>
    <t>1.ค่าเบี้ยเลี้ยงออกสอบสวนโรคในพื้นที่มีการระบาดโรคติดต่อ จำนวน 25 อำเภอx 4 คนx 120 บาท/ กิจกรรม Active search และค้นหาผู้ป่วย AFP 7 รพ.x 5 คน</t>
  </si>
  <si>
    <t>2.จัดซื้อวัสดุอุปกรณ์ในการเก็บตัวอย่างส่งตรวจ  ตัว Media, VTM, ไม้ Swab, (Amies transport media, กล่องโฟม)</t>
  </si>
  <si>
    <t xml:space="preserve"> 1.4 ประชุมเชิงปฏิบัติการฝึกซ้อมแผนรับมือการระบาดโรคอุบัติการใหม่  และโรคอุบัติการณ์ซ้ำ</t>
  </si>
  <si>
    <t>เพื่อเตรียมพร้อมรับการระบาดโรคอุบัติใหม่และโรคอุบัติการณ์ซ้ำ ไข้เลือดออก</t>
  </si>
  <si>
    <t>ผู้รับผิดชอบงาน รพ/ สสอ/ ศูนย์วิชาการ 80 คน</t>
  </si>
  <si>
    <t>1. ค่าอาหารกลางวัน จำนวน 
80 คน * 70 บาท  x 1 วัน</t>
  </si>
  <si>
    <t>2. ค่าอาหารว่างและเครื่องดื่ม จำนวน 80 คน * 25 บาท *2มื้อ</t>
  </si>
  <si>
    <t>3. ค่าตอบแทนวิทยากร 
-บรรยายเดี่ยว  3 ชม *600 บาท =1,800 บาท
-วิทยากรกลุ่ม 3 คน* 2 ชม. *600 บาท =3,600 บาท</t>
  </si>
  <si>
    <t>ค่าวิทยากรส่วนกลาง 1 คน ที่พัก 1,000 + ค่าเดินทาง 5,000 บาท</t>
  </si>
  <si>
    <t>โครงการป้องกันและควบคุมโรคเอดส์  โรคติดต่อทางเพศสัมพันธ์  ปีงบประมาณ 2566</t>
  </si>
  <si>
    <t>2.1 ประชุมเชิงปฏิบัติการพัฒนาศักยภาพบุคลากรในการจัดบริการยาป้องกันก่อนการสัมผัสเชื้อเอชไอวี</t>
  </si>
  <si>
    <t>เพื่อให้บุคลากรของหน่วยบริการสุขภาพได้ทราบแนวทางและเทคนิคการจัดบริการในกลุ่มประชากรเป้าหมาย</t>
  </si>
  <si>
    <t>จนท.รพ.สสอ.และNGO ในพื้นที่ จำนวน 70 คน</t>
  </si>
  <si>
    <t xml:space="preserve">ค่าอาหารกลางวัน 70 คนx 70 บาท x 1 มื้อ </t>
  </si>
  <si>
    <t>ยุทธพล 
พิมพ์ภา</t>
  </si>
  <si>
    <t xml:space="preserve">ค่าอาหารว่างและเครื่องดื่ม 70 คนx25 บาท x 2 มื้อ บาท                                           </t>
  </si>
  <si>
    <t>โครงการพัฒนาการดำเนินงานโรคเอดส์และโรคติดต่อทางเพศสัมพันธ์ ปีงบประมาณ 2566</t>
  </si>
  <si>
    <t>3.1 ประชุมคณะอนุกรรมการเอดส์จังหวัดอุบลราชธานีและคณะทำงาน ทั้ง ๖ ด้าน</t>
  </si>
  <si>
    <t>เพื่อเกิดกลไกลการดำเนินงานและขับเคลื่อนงานยุติปัญหาเอดส์ในระดับจังหวัด</t>
  </si>
  <si>
    <t>คณะอนุกรรมการฯและคณะทำงาน</t>
  </si>
  <si>
    <t xml:space="preserve">ค่าอาหารว่างและเครื่องดื่ม 40 คนx25 บาท x 1 มื้อ X 2 ครั้ง =  2,000  บาท                                         </t>
  </si>
  <si>
    <t>ปิยะพร  
บุญเกิด</t>
  </si>
  <si>
    <t xml:space="preserve">3.2 ประชุมคณะทำงานส่งเสริมและคุ้มครองสิทธิด้านเอดส์ในรูปแบบสหวิชาชีพจังหวัดอุบลราชธานี  
</t>
  </si>
  <si>
    <t>เพื่อเกิดกลไกลการดำเนินงานและขับเคลื่อนลดการตีตราและเลือกปฏิบัติในกลุ่มผู้ติดเชื้อเอชไอวีและกลุ่มเปาะบางระดับจังหวัด</t>
  </si>
  <si>
    <t xml:space="preserve">คณะทำงานส่งเสริมและคุ้มครองสิทธิด้านเอดส์ในรูปแบบสหวิชาชีพจังหวัดอุบลราชธานี  </t>
  </si>
  <si>
    <t xml:space="preserve">ค่าอาหารว่างและเครื่องดื่ม 20คน
x25 บาท x 1 มื้อ X 3 ครั้ง = 1,500  บาท                                         </t>
  </si>
  <si>
    <t xml:space="preserve">3.3 ประชุมจัดระบบการจัดการช่วยเหลือเรื่องร้องเรียน การละเมิดสิทธิของผู้ติดเชื้อเอชไอวี/ผู้ป่วยเอดส์  และกลุ่มผู้ที่มีความหลากหลายทางเพศซึ่งเป็นประชากรกลุ่มเปาะบาง ที่ถูกตีตราและเลือกปฏิบัติ 
</t>
  </si>
  <si>
    <t xml:space="preserve">เพื่อร่วมกันวางแผนและช่วยเหลือเรื่องร้องเรียน การละเมิดสิทธิของผู้ติดเชื้อเอชไอวี/ผู้ป่วยเอดส์  และกลุ่มผู้ที่มีความหลากหลายทางเพศซึ่งเป็นประชากรกลุ่มเปาะบาง </t>
  </si>
  <si>
    <t>ผู้ติดเชื้อเอชไอวี/ผู้ป่วยเอดส์  กลุ่มเปาะบาง และกลุ่มผู้ที่มีความหลากหลายทางเพศ เยาวชน และประชาชนทั่วไป</t>
  </si>
  <si>
    <t xml:space="preserve">ค่าอาหารว่างและเครื่องดื่ม 50 คนx25 บาท x 2 มื้อ= 2,500  บาท                                           </t>
  </si>
  <si>
    <t>3.4 จัดอบรมลดการตีตราในตนเอง (self stigma)  ในกลุ่มแกนนำผู้ติดเชื้อเอชไอวี</t>
  </si>
  <si>
    <t>เพื่อให้ผู้ติดเชื้อเอชไอวีเปิดใจยอมรับเข้าสู่ระบบการรักษาและอยู่ร่วมกับชุมชนได้และเจ้าหน้าที่ คลินิก ARV ปรับเปลี่ยนทัศนคติในการให้บริการผู้ติดเชื้อได้อย่างมีความสุข</t>
  </si>
  <si>
    <t xml:space="preserve">แกนนำผู้ติดเชื้อเอชไอวีและเจ้าหน้าที่ คลินิก ARV </t>
  </si>
  <si>
    <t xml:space="preserve">ค่าอาหารกลางวัน จำนวน 40 คนx 70 บาท   = 2,800            </t>
  </si>
  <si>
    <t xml:space="preserve">ค่าอาหารว่างและเครื่องดื่ม  จำนวน 40 คนx25 บาท x 2 มื้อ                                  </t>
  </si>
  <si>
    <t xml:space="preserve">ค่าตอบแทนวิทยากร จำนวน 1คน x 4 ชั่วโมง x 600 บาท = 2,400     </t>
  </si>
  <si>
    <t>3.5 ประชุมพิจารณาจัดสรรงบอุดหนุนการดำเนินงานเอดส์ให้กับ NGO ปี 2566</t>
  </si>
  <si>
    <t>เพื่อจัดสรรงบการดำเนินงานเอดส์ให้กับNGO ในพื้นที่จังหวัดอุบลราชธานี</t>
  </si>
  <si>
    <t>แกนนำผู้ติดเชื้อเอชไอวีและNGO ในพื้นที่</t>
  </si>
  <si>
    <t xml:space="preserve">ค่าอาหารว่างและเครื่องดื่ม  จำนวน 25 คนx25 บาท x 1 มื้อ X 2 ครั้ง =  1,250  บาท                                         </t>
  </si>
  <si>
    <t>3.6. กิจกรรมรณรงค์วันเอดส์โลก ๑ ธันวาคม ๒๕๖๕</t>
  </si>
  <si>
    <t xml:space="preserve">เพื่อรณรงค์เสริมสร้างความรู้ความเข้าใจและความตระหนักเพื่อร่วมกันควบคุมป้องกันโรคเอดส์และโรคติดต่อทางเพศสัมพันธ์ให้แก่เยาวชนกลุ่มที่มีความหลากหลายทางเพศและประชาชนทั่วไป </t>
  </si>
  <si>
    <r>
      <t>กลุ่มเยาวชนกลุ่มที่มีความหลากหลายทางเพศและประชาชนทั่วไปและกลุ่มแกนนำผู้อยู่ร่วมกับเชื้อเอชไอวี</t>
    </r>
    <r>
      <rPr>
        <sz val="14"/>
        <rFont val="TH SarabunIT๙"/>
        <family val="2"/>
      </rPr>
      <t>และองค์กรภาคประชาสังคมที่ดำเนินงานด้านเอดส์</t>
    </r>
  </si>
  <si>
    <t xml:space="preserve">ค่าอาหารกลางวัน จำนวน 170 คนx70 บาท x 1 มื้อ 
                  </t>
  </si>
  <si>
    <t>ปิยะพร  บุญเกิด</t>
  </si>
  <si>
    <t>ขอเพิ่ม</t>
  </si>
  <si>
    <t xml:space="preserve">ค่าอาหารว่างและเครื่องดื่ม        170 คนx25 บาท x 2 มื้อ 
                  </t>
  </si>
  <si>
    <r>
      <t>3.7 กิจกรรมรณรงค์วันวาเลนท์ไทน์</t>
    </r>
    <r>
      <rPr>
        <sz val="14"/>
        <rFont val="TH SarabunIT๙"/>
        <family val="2"/>
      </rPr>
      <t xml:space="preserve">  ๑๔ กุมภาพันธ์  ๒๕๖๖</t>
    </r>
  </si>
  <si>
    <t xml:space="preserve">เพื่อรณรงค์เสริมสร้างความรู้ ความเข้าใจและความตระหนักเพื่อร่วมกันควบคุมป้องกันโรคเอดส์และโรคติดต่อทางเพศสัมพันธ์ให้แก่เยาวชน </t>
  </si>
  <si>
    <t>เยาวชนและบุคลากรทางการศึกษา</t>
  </si>
  <si>
    <t xml:space="preserve">ค่าอาหารว่างและเครื่องดื่ม        200 คนx25 บาท x 2 มื้อ       
                                               </t>
  </si>
  <si>
    <t>3.8 นิเทศ ติดตาม ประเมินผลการดำเนินงานเอดส์และโรคติดติต่อทางเพศสัมพันธ์</t>
  </si>
  <si>
    <t>เพื่อติดตาม/ประเมินผลการดำเนินงานและร่วมกันแก้ไขปัญหาที่พบในพื้นที่</t>
  </si>
  <si>
    <t xml:space="preserve"> รพสต. /รพช./สสอ</t>
  </si>
  <si>
    <t xml:space="preserve">  - ค่าเบี้ยเลี้ยง จำนวน 3 คน x 
10 อำเภอ x 120 บาท                   </t>
  </si>
  <si>
    <t>โครงการป้องกันและควบคุมโรคเรื้อน ปีงบประมาณ 2566</t>
  </si>
  <si>
    <t xml:space="preserve">4.1ประชุมเชิงปฏิบัติการฟื้นฟูความรู้โรคเรื้อนสำหรับเจ้าหน้าที่รพ./สสอ./รพ.สต. </t>
  </si>
  <si>
    <t xml:space="preserve">เจ้าหน้าที่รพ./สสอ./รพ.สต.ที่พบผู้ป่วยโรคเรื้อนในพื้นที่จำนวน  60  คน  </t>
  </si>
  <si>
    <t xml:space="preserve"> ค่าอาหารกลางวันจำนวน 60 คนx 70 บาท  = 4,200</t>
  </si>
  <si>
    <t xml:space="preserve">ค่าอาหารว่างและเครื่องดื่ม จำนวน 60 คนx25 บาท x 2 มื้อ         </t>
  </si>
  <si>
    <t xml:space="preserve">ค่าตอบแทนวิทยากร จำนวน 1คน x 2 ชั่วโมง x 600 บาท = 1,200     </t>
  </si>
  <si>
    <t>4.2 ออกสอบสวนโรคเรื้อน ติดตามเยี่ยมผุ้ป่วยโรคเรื้อนรายใหม่  นิเทศติดตาม/ประเมินผลการดำเนินงานและร่วมกันแก้ไขปัญหาที่พบในพื้นที่</t>
  </si>
  <si>
    <t xml:space="preserve">  - ค่าเบี้ยเลี้ยง จำนวน 3 คน x 7 อำเภอ x 120 บาท                                                         </t>
  </si>
  <si>
    <t>โครงการพัฒนาศักยภาพการดำเนินงานวัณโรค ปีงบประมาณ 2566</t>
  </si>
  <si>
    <t>5.1 ประชุมเชิงปฏิบัติการและเวทีแลกเปลี่ยนเรียนรู้การดำเนินงานวัณโรค (DOT meeting)</t>
  </si>
  <si>
    <t>1. เพื่อแลกเปลี่ยนประสบการณ์การทำงานของแต่ละพื้นที่ ค้นหา GAP และร่วมหาแนวทางการดำเนินงานร่วมกันในปีถัดไป</t>
  </si>
  <si>
    <t>สถานบริการ 35 คน / DTC 25 คน และคณะผู้จัด 10 คน</t>
  </si>
  <si>
    <t>3.1 ค่าอาหารกลางวัน 70 คน x 70 บาท x 1วัน</t>
  </si>
  <si>
    <t xml:space="preserve"> 3.2 ค่าอาหารว่างและเครื่องดื่ม 70 คน x 25บาท x 2 มื้อ</t>
  </si>
  <si>
    <r>
      <rPr>
        <b/>
        <sz val="14"/>
        <rFont val="TH SarabunPSK"/>
        <family val="2"/>
      </rPr>
      <t>5.2</t>
    </r>
    <r>
      <rPr>
        <b/>
        <u/>
        <sz val="14"/>
        <rFont val="TH SarabunPSK"/>
        <family val="2"/>
      </rPr>
      <t xml:space="preserve"> </t>
    </r>
    <r>
      <rPr>
        <sz val="14"/>
        <rFont val="TH SarabunPSK"/>
        <family val="2"/>
      </rPr>
      <t>นิเทศติดตามการดำเนินงานวัณโรคตามตัวชี้วัด ปีงบประมาณ 2566</t>
    </r>
  </si>
  <si>
    <t xml:space="preserve">1.เพื่อติดตามการดำเนินงานวัณโรคตามตัวชี้วัดในเครือข่ายในพื้นที่ </t>
  </si>
  <si>
    <t>สถานบริการ 35 แห่ง 
2 ครั้ง/ปี</t>
  </si>
  <si>
    <t>1.1. ค่าเบี้ยเลี้ยงการนิเทศติดตามการดำเนินงานวัณโรค 4 คน x 15 วัน x 120 บาท</t>
  </si>
  <si>
    <t>กฤศวิสุทธิ์
 ธีวสุเกิดมงคล</t>
  </si>
  <si>
    <t>โครงการควบคุมป้องกันโรคติดต่อที่ป้องกันได้ด้วยวัคซีน  ปีงบประมาณ 2566</t>
  </si>
  <si>
    <t>6.1 ประชุมเชิงปฏิบัติการฟื้นฟูความรู้การสร้างเสริมภูมิคุ้มกันโรคสำหรับบุคลากรผู้รับผิดชอบงานสร้างเสริมภูมิคุ้มกันโรค</t>
  </si>
  <si>
    <t xml:space="preserve"> เพื่อฟื้นฟูความรู้และพัฒนาศักยภาพบุคลากรเกี่ยวกับการสร้างเสริมภูมิคุ้มกันโรคแก่บุคลากรผู้รับผิดชอบงานสร้างเสริมภูมิคุ้มกันโรค</t>
  </si>
  <si>
    <t xml:space="preserve">จนท.สาธารณสุข นว.สาธารณสุข พยาบาล เภสัชกร ผู้รับผิดชอบงานสร้างเสริมภูมิคุ้มกันโรค ใน รพ.รัฐ/เอกชนและ สสอ./คณะผู้จัดประชุม รวม 120 คน   </t>
  </si>
  <si>
    <t>บูรณาการกับการประผู้รับผิดชอบงานควบคุมโรคติดต่อ</t>
  </si>
  <si>
    <t>รวีภรณ์ วิศาลศิริกวิน</t>
  </si>
  <si>
    <t xml:space="preserve">6.2 ควบคุม กำกับ ติดตามและประเมินผลการดำเนินงานสร้างเสริมภูมิคุ้มกันโรค  </t>
  </si>
  <si>
    <t xml:space="preserve">เพื่อติดตามการดำเนินงานสร้างเสริมภูมิคุ้มกันโรคตามตัวชี้วัด และให้ดำเนินงานเป็นไปตามแนวทางการสร้างเสริมภูมิคุ้มกันโรค ปี 2566 </t>
  </si>
  <si>
    <t xml:space="preserve">จนท.สคร.10/เภสัชกร/ผู้รับผิดชอบงาน EPI/ผู้ดูแลระบบไอที สุ่มหน่วยบริการโซนละ 2 แห่ง รวม 8 แห่ง </t>
  </si>
  <si>
    <t>โครงการขับเคลื่อนการดำเนินงานตามพระราชบัญญัติโรคติดต่อ พ.ศ. 2558 ปีงบประมาณ 2566</t>
  </si>
  <si>
    <t xml:space="preserve">7.1 ประชุมคณะกรรมการตามพระราชบัญญัติโรคติดต่อ พ.ศ. 2558 จังหวัดอุบลราชธานี 
</t>
  </si>
  <si>
    <t xml:space="preserve">1. เพื่อให้คณะกรรมการมีความรู้ความเข้าใจในการดำเนินงานตามพระราชบัญญัติ
โรคติดต่อ พ.ศ. ๒๕๕๘ </t>
  </si>
  <si>
    <t>1. คณะกรรมการโรคติดต่อจังหวัด/บุคลากรจากองค์กร หน่วยงาน ภาคส่วน ที่เกี่ยวข้อง</t>
  </si>
  <si>
    <t xml:space="preserve"> 7.1 ค่าอาหารว่างและเครื่องดื่ม 40 คน x 60 บาท x 2 มื้อ</t>
  </si>
  <si>
    <t>นิฤมล
กมุทชาติ</t>
  </si>
  <si>
    <t xml:space="preserve">7.2 ค่าเบี้ยเลี้ยงประชุมคณะกรรมการโรคติดต่อจังหวัดอุบลราชธานี 
</t>
  </si>
  <si>
    <t xml:space="preserve">7.2 ค่าเบี้ยประชุมคณะกรรมการโรคติดต่อจังหวัดอุบลราชธานี   ประธานกรรมการ 1 คน*2000 บาท* 2 ครั้ง
 - กรรมการ เลขาและผู้ช่วยเลขาฯ 24 คน*1600 บาท*2 ครั้ง 
 - ผู้ร่วมประชุม/ที่ปรึกษา คณะกรรมการ 5 คน *1000 *1 ครั้ง               </t>
  </si>
  <si>
    <t>7.3 ประชุมเชิงปฏิบัติการคณะทำงานประจำช่องทางเข้า-ออก ระหว่างประเทศ (ด่านช่องเม็ก อำเภอสิรินธร  ด่านปากแซง อำเภอนาตาล และด่านท่าอากาศยานนานาชาติ จังหวัดอุบลราชธานี)</t>
  </si>
  <si>
    <t>1. เพื่อให้คณะทำงานมีความรู้ความเข้าใจในการดำเนินงานตามกฎหมายช่องทางเข้า-ออก ระหว่างประเทศ</t>
  </si>
  <si>
    <t xml:space="preserve">1.ค่าอาหารกลางวัน  50 คน x 70 บาท x 2 วัน </t>
  </si>
  <si>
    <t xml:space="preserve">2.ค่าอาหารว่างและเครื่องดื่ม 50 คน x 25 บาท x 4 มื้อ         </t>
  </si>
  <si>
    <t>โครงการป้องกันควบคุมโรคไข้เลือดออก  ปีงบประมาณ 2566</t>
  </si>
  <si>
    <t>8.1 ประชุมเชิงปฏิบัติการ พัฒนาศักยภาพบุคลากรในการซ่อม/บำรุงรักษาเครื่องพ่นฯ (หลักสูตร 2 วัน ภาคทฤษฎี 1 วัน ปฏิบัติ 1 วัน)</t>
  </si>
  <si>
    <t xml:space="preserve">เพื่อให้บุคลากรมีความรู้ความเข้าใจในการปฏิบัติงานด้านการควบคุมป้องกันโรคไข้เลือดออก </t>
  </si>
  <si>
    <t>ผู้ควบคุมกับกับการใช้งานเครื่องพ่นหมอกควัน หรือ ผู้ปฏิบัติงานพ่นหมอกควัน ระดับอำเภอ อำเภอละ 2 คน * 25 อำเภอ = 50 คน</t>
  </si>
  <si>
    <t xml:space="preserve">1.ค่าอาหารกลางวันจำนวน 50 คน * 70 บาท x 1 มื้อ x 2 วัน </t>
  </si>
  <si>
    <t xml:space="preserve">ภราดร
 โสภา </t>
  </si>
  <si>
    <t xml:space="preserve">2.ค่าอาหารว่างและเครื่องดื่ม จำนวน 50 คน * 25 บาท x 2 มื้อ x 2 วัน </t>
  </si>
  <si>
    <t>3 ค่าตอบแทนวิทยากร จำนวน 1 คน x 5 ชั่วโมง x 600 บาท x 2 วัน</t>
  </si>
  <si>
    <t>8.2 ประชุมเชิงปฏิบัติการหาสาเหตุเสี่ยงต่อการเสียชีวิตของผู้ป่วยไข้เลือดออก (Dead case conference)</t>
  </si>
  <si>
    <t>เพื่อให้บุคลากรมีความรู้ความเข้าใจในการระบาดของโรคและหาสาเหตุหรือปัจจัยเสี่ยงต่อการเสียชีวิตของผู้ป่วยไข้เลือดออก</t>
  </si>
  <si>
    <t>เจ้าหน้าที่ผู้ปฏิบัติงานป้องกันควบคุมโรคไข้เลือดออก</t>
  </si>
  <si>
    <t xml:space="preserve">1. ค่าอาหารว่างและเครื่องดื่มจำนวน 20 คน x 25 บาท x 1 มื้อ
 x 10 ครั้ง </t>
  </si>
  <si>
    <t>2. ค่าตอบแทนวิทยากร (กรณี death case conference หรือให้ความรู้เพิ่มเติม) จำนวน 3 คนๆละ 3 ชั่วโมงๆ ละ 600 บาท x 2 ครั้ง</t>
  </si>
  <si>
    <t>8.3 เฝ้าระวัง ป้องกัน ควบคุมโรคไข้เลือดออก</t>
  </si>
  <si>
    <t>เพื่อประเมินระบบการเฝ้าระวัง ป้องกัน ควบคุมโรคไข้เลือดออก</t>
  </si>
  <si>
    <t>25 อำเภอ อำเภอละ 1 ครั้ง</t>
  </si>
  <si>
    <t xml:space="preserve">1. ค่าเบี้ยเลี้ยง จำนวน 4 คน x 10 อำเภอ x 120 บาท </t>
  </si>
  <si>
    <t xml:space="preserve">8.4 จัดซื้อน้ำยาเคมี  ป้องกันควบคุมโรคไข้เลือดออก </t>
  </si>
  <si>
    <t>เพื่อสนับสนุนพื้นที่เมื่อเกิดการระบาด</t>
  </si>
  <si>
    <t>1. ค่าน้ำยาเคมีสำหรับพ่นละอองฝอย จำนวน 120 ขวด (1ลิตร) x 1,800 บาท</t>
  </si>
  <si>
    <t>โครงการกำจัดโรคพิษสุนัขบ้า สัตว์ปลอดโรค คนปลอดภัย  ปีงบประมาณ 2566</t>
  </si>
  <si>
    <t xml:space="preserve">9.1 ประชุมเชิงปฏิบัติการควบคุมป้องกันโรคพิษสุนัขบ้า สัตว์ปลอดโรค คนปลอดภัย
</t>
  </si>
  <si>
    <t>1. เพื่อลดอัตราป่วยและอัตราตายจากโรคพิษสุนัขบ้า</t>
  </si>
  <si>
    <t xml:space="preserve">1. คณะกรรมการ/แกนนำชุมชนในการควบคุมโรคพิษสุนัขบ้าจังหวัดอุบลราชธานี
จำนวน 70 คน
</t>
  </si>
  <si>
    <t xml:space="preserve">ค่าอาหารว่างและเครื่องดื่ม 
จำนวน 70 คนx25 บาท x 2 มื้อ          </t>
  </si>
  <si>
    <t>ผ่องนภา 
พันธ์พิพัฒน์</t>
  </si>
  <si>
    <t>โครงการประชุมผู้รับผิดชอบงานควบคุมโรคติดต่อ จังหวัดอุบลราชธานี  ปีงบประมาณ 2566</t>
  </si>
  <si>
    <t xml:space="preserve">10.1 ประชุมเชิงปฏิบัติการควบคุมป้องกันโรคติดต่อ  จังหวัดอุบลราชธานี
</t>
  </si>
  <si>
    <t>1. เพื่อให้ผู้รับผิดชอบงานมีความรู้ความเข้าใจในการดำเนินงานควบคุมป้องกันโรคติดต่อ จังหวัดอุบลราชธานี</t>
  </si>
  <si>
    <t xml:space="preserve">1. ผู้รับผิดชอบงานควบคุมป้องกันโรคติดต่อ ใน สสจ./
รพ./สสอ./รพ.สต.
จำนวน 70 คน
(on sit = 3 ครั้ง)
(On Line = 3 ครั้ง)
</t>
  </si>
  <si>
    <t xml:space="preserve">ค่าอาหารกลางวัน จำนวน 70 คนx70 บาท x 3 มื้อ          </t>
  </si>
  <si>
    <t xml:space="preserve">ค่าอาหารว่างและเครื่องดื่ม 
จำนวน 70 คนx25 บาท x 6 มื้อ          </t>
  </si>
  <si>
    <t>โครงการกำจัดพยาธิใบไม้ตับและมะเร็งท่อน้ำดี จังหวัดอุบลราชธานี ปีงบประมาณ 66 (งบจังหวัดอุบลราชธานี)</t>
  </si>
  <si>
    <t>งบ จว.</t>
  </si>
  <si>
    <t>10.1 จัดบริการตรวจคัดกรองโรคพยาธิใบไม้ตับด้วยการตรวจอุจจาระประชาชนกลุ่มเสี่ยงอายุ 15 ปีขึ้นไป และรณรงค์กิจกรรมการบริโภคอาหารปลอดภัยลดปัจจัยเสี่ยงต่อการเกิดโรคมะเร็งตับและมะเร็งท่อน้ำดี</t>
  </si>
  <si>
    <t xml:space="preserve">เพื่อลดอัตราความชุกของโรคพยาธิใบไม้ตับของประชาชนจังหวัดอุบลราชธานีให้ต่ำกว่าร้อยละ 1 ในปี 2568 </t>
  </si>
  <si>
    <t>13 ตำบลใหม่ ปี 65ตำบลๆละ  905 ราย</t>
  </si>
  <si>
    <t>ค่าอาหารกลางวัน  80 บาท  x 9,050  คน  = 724,000 บาท</t>
  </si>
  <si>
    <t>วัชรินทร์ กรวยสวัสดิ์</t>
  </si>
  <si>
    <t xml:space="preserve">ค่าอาหารว่างและเครื่องดื่ม  1 มื้อ ๆ ละ 25 บาท x  9,050  คน </t>
  </si>
  <si>
    <t>ค่าวัสดุอุปกรณ์ในการตรวจคัดกรอง 59.99 บาท x 9,050  คน = 542,950  บาท</t>
  </si>
  <si>
    <t xml:space="preserve"> 10.2 กิจกรรมถอดบทเรียน/แลกเปลี่ยนเรียนรู้  เพื่อการปรับเปลี่ยนและเพิ่มศักยภาพให้กับภาคีเครือข่ายในการโรคกำจัดพยาธิใบไม้ตับและมะเร็งท่อน้ำดี</t>
  </si>
  <si>
    <t xml:space="preserve">                 </t>
  </si>
  <si>
    <t xml:space="preserve">  อปท.  /ครู /อสม. /ผู้นำชุมชน /จนท.สธ. รพ.สต. / จนท.สธ.รพ. / จนท.สธ.สสอ./ จนท.สธ.สสจ.อุบลฯ :  จำนวน 120 คน </t>
  </si>
  <si>
    <t>ค่าอาหารกลางวัน 170 บาท  X 120  คน</t>
  </si>
  <si>
    <t xml:space="preserve">ค่าอาหารว่างและเครื่องดื่ม 25 บาท x 2 มื้อ X 120 คน </t>
  </si>
  <si>
    <t xml:space="preserve">ค่าตอบแทนวิทยากร   (แบ่งเป็น 5 ฐาน)  6 ชั่วโมงๆ ละ 600 = 3,600 บาท X 5 คน </t>
  </si>
  <si>
    <t xml:space="preserve">ค่าวัสดุอุปกรณ์การอบรม  40  บาท x120 คน </t>
  </si>
  <si>
    <t>คร.</t>
  </si>
  <si>
    <t>1.โครงการพัฒนาประสิทธิภาพศูนย์จัดเก็บรายได้ของหน่วยบริการทุกแห่ง ประจำปี 2566</t>
  </si>
  <si>
    <t>1.1 โครงการประชุมเชิงปฏิบัติการ "การสรุปโรค การให้รหัสโรค/หัตถการ เวชระเบียนผู้ป่วยใน ประจำปี 2566"</t>
  </si>
  <si>
    <t>1.2 ประชุมแลกเปลี่ยนเรียนรู้การดำเนินงานในการขอรับค่าใช้จ่ายบริการสาธารณสุขในระบบหลักประกันสุขภาพ</t>
  </si>
  <si>
    <t xml:space="preserve"> -เพื่อพัฒนาการให้บริการ เพิ่มการจัดเก็บรายได้ กรณีเบิกจ่ายรองเท้าเพื่อสุขภาพ,แพทย์แผนไทย,Pallitive care,Instrument,FP,งบบริการฟื้นฟูฯและบริการส่งเสริมฯ(Fee schedule)ให้กับทุกหน่วยบริการให้กับหน่วยบริการทุกแห่ง</t>
  </si>
  <si>
    <t xml:space="preserve">1.3 การพัฒนาประสิทธิภาพการสรุป ให้รหัสโรค และการประเมินคุณภาพการบันทึกเวชระเบียนทางการแพทย์
</t>
  </si>
  <si>
    <t xml:space="preserve"> -เพื่อชี้แนะ แนะนำ สอน(coaching) การสรุปและการบันทึกเวชระเบียนผู้ป่วยใน ในหน่วยบริการที่มีค่า CMI ต่ำกว่าเกณฑ์ จำนวน…8.....แห่ง</t>
  </si>
  <si>
    <t>1.4 ออกนิเทศติดตามและประเมินศูนย์จัดเก็บรายได้คุณภาพ(4S4C)</t>
  </si>
  <si>
    <t xml:space="preserve"> -เพื่อติดตามและประเมินการดำเนินงาน 4S4C ทั้ง 25 โรงพยาบาล บูรณาการออกร่วมกับงานตรวจสอบภายในและงานการเงินบัญชี</t>
  </si>
  <si>
    <t>1.5นิเทศติดตาม ระบบบริหารจัดการศูนย์จัดเก็บรายได้คุณภาพหน่วยบริการในเขตสุขภาพที่ 10</t>
  </si>
  <si>
    <t xml:space="preserve"> -ค่าบริการรายเดือนๆละ 650 บาท* 12 เดือน </t>
  </si>
  <si>
    <t xml:space="preserve">1.ค่าอาหารว่าง
และเครื่องดื่ม 
50บ.x 350คน      </t>
  </si>
  <si>
    <t xml:space="preserve">2.ค่าอาหารกลางวัน
70บ.x 350คน                        </t>
  </si>
  <si>
    <t>2. ประชุมทบทวน หลักเกณฑ์ อัตรา เงื่อนไขการตามจ่ายผู้ป่วยนอกภายในจังหวัดอุบลราชธานี</t>
  </si>
  <si>
    <t xml:space="preserve">1. โครงการติดตามเยี่ยม ตรวจสอบข้อมูล และไกล่เกลี่ยผู้ได้รับความเสียหายจากการรักษาพยาบาลของหน่วยบริการ(ตามมาตรา 41)  </t>
  </si>
  <si>
    <t>ประกัน</t>
  </si>
  <si>
    <t xml:space="preserve">1. อบรมเชิงปฏิบัติการ "การพัฒนาศักยภาพการจัดเก็บรายได้ค่ารักษาพยาบาลของหน่วยบริการแบบบูรณาการ : สิทธิประกันสุขภาพแรงงานต่างด้าว บุคคลที่มีปัญหาสถานะและสิทธิ ประกันสุขภาพถ้วนหน้าและประกันสังคม จังหวัดอุบลราชธานี ระยะที่ 2 </t>
  </si>
  <si>
    <t xml:space="preserve"> แผนปฏิบัติการพัฒนางานสาธารณสุข สำนักงานสาธารณสุขจังหวัดอุบลราชธานี   ประจำปีงบประมาณ พ.ศ. 2564</t>
  </si>
  <si>
    <t xml:space="preserve">2. แผนงาน (แผนงานกระทรวงสาธารณสุข ปี 2565) แผนงานที่ 10 : การพัฒนาระบบบริหารจัดการกำลังคนด้านสุขภาพ </t>
  </si>
  <si>
    <t xml:space="preserve"> 3. โครงการ (โครงการกระทรวงสาธารณสุข ปี 2565) 30,31</t>
  </si>
  <si>
    <t>ตัวชี้วัด 50,51,52</t>
  </si>
  <si>
    <t>เป้าประสงค์ ที่ 30 โครงการบริหารจัดการกำลังคนด้านสุขภาพ.   31  โครงการ Happy MOPH</t>
  </si>
  <si>
    <t xml:space="preserve">ตัวชี้วัด 50 ร้อยละของเขตสุขภาพที่มีการบริหารจัดการกำลังคนที่มีประสิทธิภาพตำแหน่งว่างคงเหลือไม่เกินร้อยละ 4 (≥ 9 เขตสุขภาพผ่านเกณฑ์)
, 51ร้อยละของบุคลากรที่มีความพร้อมรองรับการเข้าสู่ตำแหน่งที่สูงขึ้นได้รับการพัฒนา (ไม่น้อยกว่าร้อยละ 80) , </t>
  </si>
  <si>
    <t>52 องค์กรแห่งความสุขที่มีคุณภาพ</t>
  </si>
  <si>
    <t>โครงการพัฒนาการบริหารทรัพยากรบุคคล (HRM) และระบบสารสนเทศเพื่อบริหารจัดการบุคลากรสาธารณสุข (HROPS) จังหวัดอุบลราชธานี ปีงบประมาณ 2566</t>
  </si>
  <si>
    <t>1.1 การประชุม CHRO จังหวัดอุบลราชธานี(คณะกรรมการบริหารกำลังคนภาพรวมทั้งจังหวัด)</t>
  </si>
  <si>
    <t>เพื่อให้การบริหารจัดการกำลังคนเป็นไปด้วยความเรียบร้อย</t>
  </si>
  <si>
    <t>ประชุมทุก 2-3 เดือน</t>
  </si>
  <si>
    <t xml:space="preserve">ค่าอาหารว่างและเครื่องดื่ม  (บ่าย)
(100คน * 25บ.*1มื้อ*8 ครั้ง )
</t>
  </si>
  <si>
    <t>บานเย็น/
แพรพลอย</t>
  </si>
  <si>
    <t>สสจ.</t>
  </si>
  <si>
    <t>1.2 การเลื่อนระดับ การประเมินผลงาน (อวช)</t>
  </si>
  <si>
    <t>เพื่อให้การดำเนินงานการการเลื่อนระดับประมินผลงานเป็นไปด้วยความเรียบร้อย</t>
  </si>
  <si>
    <t>ประชุมเดือนละ 1 - 2 ครั้ง</t>
  </si>
  <si>
    <t>ค่าตอบแทนกรรมการ ประเมินผลงาน (อวช)  ( 20คน * 1,000 บาท*5ครั้ง)</t>
  </si>
  <si>
    <t>สุพิชตรา</t>
  </si>
  <si>
    <t xml:space="preserve">1.3 การประชุมราชการ  
 เป็นประชุมคณะกรรมการชุดต่าง ๆ  ตาม กฎ ระเบียบที่เกี่ยวข้อง   (ข้าราชการ ลูกจ้างประจำ พนักงานราชการ พกส และลูกจ้างชั่วคราว )   
</t>
  </si>
  <si>
    <t>เพื่อให้การดำเนินงานการประชุมราชการ
งานด้านบริหารทรัพยากรบุคคล เป็นไปด้วยความเรียบร้อย ถูกต้อง  และทันเวลา</t>
  </si>
  <si>
    <t>1.คณะกรรมการฯ  
 2.คณะทำงาน</t>
  </si>
  <si>
    <t xml:space="preserve">ธิดารัตน์ </t>
  </si>
  <si>
    <t>1.3.1 ประชุมเพื่อพิจารณาการคัดเลือก การโยกย้าย,การเลื่อนระดับ,การบรรจุแต่งตั้ง และการบริหารตำแหน่งว่าง ข้าราชการ</t>
  </si>
  <si>
    <t>เพื่อพิจารณาความถูกต้องและเหมาะสม</t>
  </si>
  <si>
    <t>1.คณะกรรมการฯ  2.คณะทำงาน</t>
  </si>
  <si>
    <t xml:space="preserve">ค่าอาหารว่างและเครื่องดื่ม
(อัตรา 25 บาท* 1มื้อ*12ครั้ง*20คน )  ค่าอาหารกลางวัน                          (อัตรา 70 บาท* 1มื้อ*12ครั้ง*20คน )                                                    </t>
  </si>
  <si>
    <t>บานเย็น/
สุพิชตรา</t>
  </si>
  <si>
    <t xml:space="preserve">1.3.2 บำเหน็จบำนาญ / วันทวีคูณอายุราชการ </t>
  </si>
  <si>
    <t>เพื่อตรวจสอบข้อเท็จจริงและความถูกต้องของข้อมูลประวัติการรับราชการ</t>
  </si>
  <si>
    <t>1.คณะกรรมการฯ 
2.คณะทำงาน</t>
  </si>
  <si>
    <t xml:space="preserve">ค่าอาหารว่างและเครื่องดื่ม   (เช้า)      (อัตรา 25 บาท* 1มื้อ*1 ครั้ง*25คน)                                   ค่าอาหารกลางวัน  (อัตรา 70 บาท* 1มื้อ*1 ครั้ง*25คน)                                                      </t>
  </si>
  <si>
    <t>ยงยุทธ</t>
  </si>
  <si>
    <t>1.3.1 การเลื่อนขั้นเงินเดือน(ข้าราชการ ,เพิ่มค่าจ้างประจำปีของพนักงานกระทรวงสาธารณสุขทั่วไป</t>
  </si>
  <si>
    <t>ให้ถูกต้องทันเวลา</t>
  </si>
  <si>
    <t>1.รอบเมษายน     2.รอบตุลาคม</t>
  </si>
  <si>
    <t xml:space="preserve">ค่าอาหารว่างและเครื่องดื่ม              (อัตรา 25 บาท* 2มื้อ*1ครั้ง*80คน ) 
 ค่าอาหารกลางวัน                         (อัตรา 70 บาท* 1มื้อ*1ครั้ง*80คน )                                                     </t>
  </si>
  <si>
    <t>คณิตตา / อุบลศรี</t>
  </si>
  <si>
    <t>1.3.2 การสอบคัดเลือกเพื่อบรรจุเข้ารับราชการ ตำแหน่งต่างๆ</t>
  </si>
  <si>
    <t>ให้ถูกต้องทันเวลาเป็นไปตามระเบียบที่ กำหนด</t>
  </si>
  <si>
    <t>1.คณะกรรมการฯ
2.คณะทำงาน</t>
  </si>
  <si>
    <t xml:space="preserve">ค่าอาหารว่างและเครื่องดื่ม 
 (อัตรา 25 บาท* 1มื้อ*6ครั้ง*30คน ) ค่าอาหารกลางวัน                             (อัตรา 70 บาท* 1มื้อ*6ครั้ง*30คน )                                                     </t>
  </si>
  <si>
    <t>บานเย็น/แพรพลอย</t>
  </si>
  <si>
    <t xml:space="preserve"> 1.3.3 การสรรหาและเลือกสรร พนักงานราชการ,พนักงานราชการเฉพาะกิจ        </t>
  </si>
  <si>
    <t xml:space="preserve">1.เดือนมีนาคม 2566                    ค่าอาหารว่างและเครื่องดื่ม   
 (อัตรา 25 บาท* 1มื้อ*3ครั้ง*30คน)      ค่าอาหารกลางวัน     
 (อัตรา 70 บาท* 1มื้อ*3ครั้ง*30คน )  
                                                   </t>
  </si>
  <si>
    <t xml:space="preserve"> 1.เดือน ต.ค.2564และพ.ย.2564 ใช้เงิน จาก สสจ.อบ</t>
  </si>
  <si>
    <t xml:space="preserve">2.เดือนมิถุนายน 2566         ค่าอาหารว่างและเครื่องดื่ม   
(อัตรา 25 บาท* 1มื้อ*4ครั้ง*45คน)  ค่าอาหารกลางวัน
 (อัตรา 70 บาท* 1มื้อ*4ครั้ง*45คน)                                                      </t>
  </si>
  <si>
    <t xml:space="preserve"> 2.เดือน ธ.ค.2564 -เดือน 30 ก.ย.2565 ขอใช้เงินจากการหักเงินค่าธรรมเนียม</t>
  </si>
  <si>
    <t>1.3.3.1 ค่าเช่าสถานที่ (กรณีต้องจัดคัดเลือกนอกสถานที่)</t>
  </si>
  <si>
    <t>ใช้ค่าธรรมเนียมจาการสมัคสอบ</t>
  </si>
  <si>
    <t xml:space="preserve">การสอบแข่งขันบุคคลเป็นเจ้าหน้าที่ของรัฐ </t>
  </si>
  <si>
    <t>1.3.3.2 ค่าจ้างเหมาบริการจัดสถานที่ในการประเมินสมรรถนะพนักงานราชการ)</t>
  </si>
  <si>
    <t>ค่าจ้างเหมาบริการฯสำหรับจัดสอบ</t>
  </si>
  <si>
    <t>ตามหนังสือ กรมบัญชีกลาง ที่ กค 0409.3/ว36 ลงวันที่ 2 มี.ค.2548</t>
  </si>
  <si>
    <t xml:space="preserve">     1.3.3.3 ค่าถ่ายเอกสาร (กระดาษคำตอบ, ชุดข้อสอบ)</t>
  </si>
  <si>
    <t xml:space="preserve">เตรียมความพร้อมรองรับแผนกำลังคนตามการจัดระบบบริการสุขภาพ (HRH Blueprint) เขตสุขภาพที่ 10 ปี  2565 – 2568  (HRP)  จังหวัดอุบลราชธานี   โครงการพัฒนาองค์กรด้านบริหารทรัพยากรบุคคลและโยกย้าย จ.18 </t>
  </si>
  <si>
    <t>เกตุศิรินทร์</t>
  </si>
  <si>
    <t xml:space="preserve"> ประชุมคณะกรรมการวางแผนการย้าย จ.18</t>
  </si>
  <si>
    <t>เพื่อจัดกรอบอัตรากำลังบุคลากรให้ตรงตาม  จ.18มากกว่า  ร้อยละ 80 ในปีงบประมาณ 2565</t>
  </si>
  <si>
    <t>หัวหน้ากลุ่มงานการพยาบาล,หัวหน้ากลุ่มงานบริหารทั่วไป ของโรงพยาบาลทั่วไปและโรงพยาบาลชุมชน ประชุมทุกเดือน เดือนละ 1 ครั้ง ตั้งแต่ ตุลาคม 2564 - กันยายน 2565</t>
  </si>
  <si>
    <r>
      <t xml:space="preserve">1. ค่าอาหารว่างและ เครื่องดื่ม 
(อัตรา </t>
    </r>
    <r>
      <rPr>
        <b/>
        <sz val="10"/>
        <color indexed="8"/>
        <rFont val="Tahoma"/>
        <family val="2"/>
      </rPr>
      <t xml:space="preserve">25 บ.* 2 มื้อ*35 คน*1 วัน)    
2. ค่าอาหารไม่ครบมื้อ 
(อัตรา70 บาท*35 คน* 1 วัน)  
ประชุม Onsite 1 ครั้ง           
ประชุม On line 10  ครั้ง
</t>
    </r>
  </si>
  <si>
    <t>โครงการพัฒนาศักยภาพและเตรียมความพร้อมเข้าสู่ผู้บริหาร  ปี 2566</t>
  </si>
  <si>
    <t>งบกลาง</t>
  </si>
  <si>
    <t>3.1 พัฒนาศํกยภาพ พ่อบ้าน รพ/ผช.สสอ.</t>
  </si>
  <si>
    <t>พัฒนาศักยภาพผู้บริหารใหทันต่อสถสนการณ์การเปลี่ยนแปลง</t>
  </si>
  <si>
    <t>พ่อบ้านรพช.ทกแห่ง/ผช.สสอ.ทุกแห่ง</t>
  </si>
  <si>
    <t>ใช้งบ CUP ลงทะเบียนอบรม ในสถาบันที่จัดการเรียนการสอน</t>
  </si>
  <si>
    <t>ธิดารัตน์ ,พัชรา</t>
  </si>
  <si>
    <t>ต้นสังกัดรับผิดชอบ</t>
  </si>
  <si>
    <t>3.2 พัฒนาศักยภาพ รองหัวหน้ากลุ่มการพยาบาล</t>
  </si>
  <si>
    <t>รองหน.กลุ่มการพยาบาลทุกแห่ง</t>
  </si>
  <si>
    <t>3.3  พัฒนาศักยภาพ ผอ.รพ.สต.</t>
  </si>
  <si>
    <t>ผอ.รพสต.ทุกแห่ง</t>
  </si>
  <si>
    <t>3.4  ผบก</t>
  </si>
  <si>
    <t>ผู้ผ่านการคัดเลือกผบก.ในระดับจังหวัด 3 คน</t>
  </si>
  <si>
    <t>ค่าลงทะเบียน
(อัตรา 30,000 บาท x 3 คน)</t>
  </si>
  <si>
    <t>3.5  ผบต</t>
  </si>
  <si>
    <t>ผู้ผ่านการคัดเลือกผบต.ในระดับจังหวัด 3 คน</t>
  </si>
  <si>
    <t>ค่าลงทะเบียน 
(อัตรา24,000 บาท x 3 คน)</t>
  </si>
  <si>
    <t>3.6  ผู้บริหารระดับสูง</t>
  </si>
  <si>
    <t>นพ. สสจ. หรือ รอง นพ.สสจ.</t>
  </si>
  <si>
    <t>ค่าลงทะเบียน
(อัตรา 100,000 บาท *1 คน)</t>
  </si>
  <si>
    <t>โครงการประชุมคณะกรรมการและคัดเลือกแพทย์ศึกษาต่อเฉพาะทาง จังหวัดอุบลราชธานี   ปีงบประมาณ 2566</t>
  </si>
  <si>
    <t>4.1.1 พัฒนาศักยภาพแพทย์ 
 - แพทย์เพิ่มพูนทักษะ
 - แพทย์เวชศาสตร์ครอบครัว
 - แพทย์ประจำบ้าน</t>
  </si>
  <si>
    <t>งานได้ผล คนเป็นสุข ปลอดภัย 
สร้างผู้นำยุคใหม่</t>
  </si>
  <si>
    <t>1.แพทย์ที่สมัครคัดเลือกในระบบ /แพทย์เวชศาสตร์ครอบครัว/ แพทย์ประจำบ้าน
2.แพทย์ที่เข้าร่วมโครงการแพทย์เพิ่มพูนทักษะ
3.คณะกรรมการคัดเลือกตามคำสั่งฯ</t>
  </si>
  <si>
    <t>พัชรา</t>
  </si>
  <si>
    <t>ประชุมจัดสรรพื้นที่ปฏิบัติงานแพทย์ใช้ทุนปี 1 และปี 2</t>
  </si>
  <si>
    <t xml:space="preserve">ค่าอาหารว่างและเครื่องดื่ม
(อัตรา  25  บาท*50 คน* 2 ครั้ง </t>
  </si>
  <si>
    <t>ประชุมคัดเลือกแพทย์ประจำบ้าน</t>
  </si>
  <si>
    <t>ค่าอาหารว่างและเครื่องดื่ม 
(อัตรา 25  บาท* 50 คน )</t>
  </si>
  <si>
    <t>ประชุมจัดทำแผน และสรุปผลการดำเนินงานแพทย์ประจำบ้าน</t>
  </si>
  <si>
    <t>ค่าอาหารกลางวัน/ค่าอาหารว่างและเครื่องดื่ม 
(อัตรา 120  บาท* 50  คน*1 ครั้ง )</t>
  </si>
  <si>
    <t>ประชุมจัดทำสัญญาลาศึกษาต่อแพทย์ประจำบ้าน</t>
  </si>
  <si>
    <t xml:space="preserve">ค่าอาหารว่างและเครื่องดื่ม
( อัตรา 25  บาท*60 คน *1 ครั้ง </t>
  </si>
  <si>
    <t>โครงการพัฒนาองค์กรแห่งความสุขที่มีคุณภาพมาตรฐาน</t>
  </si>
  <si>
    <t xml:space="preserve"> - ประชุมคณะกรรมการ       (สสจ.อบ.)</t>
  </si>
  <si>
    <t>1. เพื่อพัฒนาองค์กรในหน่วยงานสาธารณสุขให้มีคุณภาพมาตรฐานตามเกณฑ์ที่กำหนด
2. เพื่อให้คณะกรรมการได้มีการพัฒนากลไกและกระบวนการสร้างสุขในองค์กรตามมาตรฐานและให้มีความยั่งยืน</t>
  </si>
  <si>
    <t>บุคลากรจาก สสจ.</t>
  </si>
  <si>
    <t xml:space="preserve"> - ประชุมคณะกรรมการเครือข่ายระดับอำเภอ</t>
  </si>
  <si>
    <t>เพื่อชี้แจงแนวทางและข้อตกลงร่วมกันในการทำงาน และพัฒนางาน HPI</t>
  </si>
  <si>
    <t>บุคลากรจาก สสอ./รพศ./รพท.รพช./รพ.สต..</t>
  </si>
  <si>
    <t>ค่าอาหารกลางวัน/ค่าอาหารว่างและเครืองดื่ม จำนวน 60 คน X 120 บาท</t>
  </si>
  <si>
    <t xml:space="preserve"> - ประชุมติดตามความก้าวหน้าของงาน</t>
  </si>
  <si>
    <t>เพื่อติดตามการทำงานและความก้าวหน้าของงานพร้อมรับข้อเสนอแนะและพัฒนางานHPI</t>
  </si>
  <si>
    <t>บุคลากรจาก สสจ.สสอ./รพศ./รพท.รพช./รพ.สต..</t>
  </si>
  <si>
    <t>ประชุม Tele conference</t>
  </si>
  <si>
    <t xml:space="preserve"> - ประชุมสรุปผลการดำเนินงานและคัดเลือกองค์กรแห่งความสุขที่เป็นเลิศอย่างยั่งยืน</t>
  </si>
  <si>
    <t>1.เพื่อติดตามการดำเนินงานทั้งหมดทุกด้านของ HPI และนำข้อเสนอแนะไปพัฒนาต่อ</t>
  </si>
  <si>
    <t>โครงการปฐมนิเทศบุคลากรบรรจุใหม่  ประจำปี  พ.ศ. 2566</t>
  </si>
  <si>
    <t xml:space="preserve"> -4.3.1 การปฐมนิเทศข้าราชการใหม่กลุ่ม แพทย์ ระดับจังหวัด
</t>
  </si>
  <si>
    <t xml:space="preserve">เพื่อให้ข้าราชการใหม่มีความรู้ และสามารถปฏิบัติตัวถูกต้องตามระเบียบข้าราชการพลเรือน
</t>
  </si>
  <si>
    <t xml:space="preserve">กลุ่มแพทย์ 
</t>
  </si>
  <si>
    <r>
      <t xml:space="preserve">1. ค่าอาหารว่างและ เครื่องดื่ม 
( อัตรา 25 บ.* 90 คน* 2 มื้อ* 3 วัน  ) </t>
    </r>
    <r>
      <rPr>
        <b/>
        <sz val="10"/>
        <color indexed="8"/>
        <rFont val="Tahoma"/>
        <family val="2"/>
      </rPr>
      <t xml:space="preserve">
 2. ค่าอาหารกลางวัน
(อัตรา 70 บาท*90 คน* 3 วัน )
3. ค่าวิทยากร
(อัตรา 600 บาท*14 ชั่วโมง)</t>
    </r>
  </si>
  <si>
    <t xml:space="preserve"> - 4.3.2 การปฐมนิเทศบุคลากรใหม่กลุ่ม  ทันตแพทย์ เภสัชกร พยาบาล และสหวิชาชีพ ระดับจังหวัด
</t>
  </si>
  <si>
    <t>เพื่อให้บุคลากรใหม่มีความรู้ และสามารถปฏิบัติตัวถูกต้องตามระเบียบราชการ</t>
  </si>
  <si>
    <t>กลุ่มทันตแพทย์
เภสัชกร พยาบาล และสหวิชาชีพ</t>
  </si>
  <si>
    <t>1. ค่าอาหารกลางวัน/ค่าอาหารว่างและเครื่องดื่ม 120 บาท*50 คน* 3 วัน
2.ค่าวิทยากร
(อัตรา 600 บาท *16 ชั่วโมง)</t>
  </si>
  <si>
    <t xml:space="preserve"> - 4.3.4 การปฐมนิเทศ หลักสูตร "ข้าราชการที่ดี"</t>
  </si>
  <si>
    <t xml:space="preserve">เพื่อพัฒนาให้มีความรู้ ความเข้าใจเกี่ยวกับ
แนวทางการปฏิบัติราชการ ปลูกฝังค่านิยม และ
ปรัชญาการเป็นข้าราชการที่ดี </t>
  </si>
  <si>
    <t>ข้าราชการบรรจุใหม่ กรณี
พิเศษ  COVID 19</t>
  </si>
  <si>
    <t>ใช้งบแต่ละหน่วยงานอบรมในสถาบันที่จัดอบรมให้</t>
  </si>
  <si>
    <t>หากมาตรฐานไม่บังคับออนไลน์</t>
  </si>
  <si>
    <t>โครงการพัฒนาศักยภาพบุคลากรผู้รับผิดชอบงานพัฒนาบุคคลากร ระดับจังหวัดอุบลราชธานี ประจำปี 2564</t>
  </si>
  <si>
    <t xml:space="preserve"> - ประชุมชี้แจง แลกเปลี่ยนเรียนรู้และพัฒนาศักยภาพบุคลากรผู้รับผิดชอบงานพัฒนาทรัพยากรบุคคล
</t>
  </si>
  <si>
    <t>1. เพื่อประชุมชี้แจงนโยบายและแนว ทางการดำเนินงานและพัฒนางานHRD ร่วมกัน
2. เพื่อติดตามการดำเนินงาน</t>
  </si>
  <si>
    <t>บุคลากรผู้รับผิดชอบงานพัฒนาทรัพยากรบุคคลสสจ./สสอ./รพศ.รพท./รพช./รพ.สต.</t>
  </si>
  <si>
    <t>ประชุม Teleconferrence</t>
  </si>
  <si>
    <t xml:space="preserve">โครงการพัฒนาวิชาการและงานวิจัยจังหวัดอุบลราชธานี   </t>
  </si>
  <si>
    <t>พร.</t>
  </si>
  <si>
    <t>1. ประชุมคณะกรรมการระดับจังหวัด</t>
  </si>
  <si>
    <t>เพื่อระดมสมองในการจัดทำแผนงาน/โครงการ/กิจกรรมและติดตามความก้าวหน้าและ    ประเมินผลงานวิจัย /R2R และนวัตกรรม ด้านสุขภาพของจังหวัดอุบลราชธานี</t>
  </si>
  <si>
    <t>1.1 ผู้รับผิดชอบงานงานวิจัยของจังหวัดและอำเภอ</t>
  </si>
  <si>
    <t>1.1 ค่าอาหารว่างและเครืองดื่ม จำนวน 30 คน X 25 บาท X 4 ครั้ง</t>
  </si>
  <si>
    <t>2. ประชุมคณะกรรมการผู้ทรงคุณวุฒิ (Peer  Review)</t>
  </si>
  <si>
    <t xml:space="preserve">พิจารณากลั่นกรองบทความวิจัยเพื่อตีพิมพ์ในวารสาร
วิชาการสาธารณสุขจังหวัดอุบลราชธานี </t>
  </si>
  <si>
    <t xml:space="preserve">1.2 คณะกรรมการผู้ทรงคุณวุฒิ จำนวน  20 คน </t>
  </si>
  <si>
    <t xml:space="preserve"> 1.2 ค่าอาหารกลางวัน/ค่าอาหารว่างและเครื่องดื่ม จำนวน 20 คนX 120 บาท X 2 ครั้ง</t>
  </si>
  <si>
    <t>3.  อบรมพัฒนาศักยภาพบุคลากรในการผลิตผลงานวิชาการและงานวิจัย              -การเขียนโครงร่างงานวิจัย และการวิเคราะห์ข้อมูล</t>
  </si>
  <si>
    <t xml:space="preserve">เพื่อพัฒนาความรู้และทักษะด้านวิชาการ /งานด้านวิจัย/R2R </t>
  </si>
  <si>
    <t>1.3 จนท.สสจ./สสอ./รพช./รพท./รพ.สต. 
Onsite จำนวน 50 คน
Online จำนวน 100 คน (ทุกกลุ่มวิชาชีพ)</t>
  </si>
  <si>
    <t>4.ประชุมเชิงปฏิบัติการเขียนบทคัดย่อ/Abstract /บทความวิชาการและการนำเสนอผลงานวิชาการแบบปากเปล่าและโปสเตอร์</t>
  </si>
  <si>
    <t>เพื่อพัฒนาความรู้และทักษะในการเขียนรายงานทางวิชาการและนำเสนอผลงาน</t>
  </si>
  <si>
    <t>1.4 จนท.สสจ./สสอ./รพช./รพท./รพ.สต. Onsite จำนวน 50 คน
Online จำนวน 100 คน
(ทุกกลุ่มวิชาชีพ)</t>
  </si>
  <si>
    <t>ค่าอาหารกลางวัน/ค่าอาหารว่างและเครืองดื่ม จำนวน 50 คน X 120 บาท X 1วัน
ค่าตอบแทนวิทยากร จำนวน 1 คน X 1 วัน X 5 ชม.X 600 บาท</t>
  </si>
  <si>
    <t xml:space="preserve">    6,000
    3,000</t>
  </si>
  <si>
    <t>โครงการพัฒนาจริยธรรมการวิจัยในมนุษย์  สำนักงานสาธารณสุขจังหวัดอุบลราชธานี</t>
  </si>
  <si>
    <t>บค</t>
  </si>
  <si>
    <t>ประชุมพัฒนาจริยธรรมการวิจัยในมนุษย์</t>
  </si>
  <si>
    <t>เพื่อพัฒนาศักยภาพนักวิจัยและคณะกรรมการก่อนการดำเนินงานวิจัยตามหลักจริยธรรมการวิจัยในมนุษย์</t>
  </si>
  <si>
    <t>นักวิจัยแกนนำ จนท.สสจ./สสอ./รพช./รพท./รพ.สต. 
Onsite จำนวน 50 คน
Online จำนวน 100 คน
(ทุกกลุ่มวิชาชีพ)</t>
  </si>
  <si>
    <r>
      <t>ค่าอาหารกลางวัน/ค่าอาหารว่างและเครืองดื่ม จำนวน 50 คน X</t>
    </r>
    <r>
      <rPr>
        <b/>
        <sz val="10"/>
        <color indexed="10"/>
        <rFont val="Tahoma"/>
        <family val="2"/>
      </rPr>
      <t xml:space="preserve"> </t>
    </r>
    <r>
      <rPr>
        <b/>
        <sz val="10"/>
        <rFont val="Tahoma"/>
        <family val="2"/>
      </rPr>
      <t>120 บาท X 2 วัน
ค่าตอบแทนวิทยากร จำนวน 1 คน X 2 วัน X 5 ชม.X 600 บาท</t>
    </r>
  </si>
  <si>
    <t>โครงการประชุมวิชาการเขตสุขภาพที่ 10</t>
  </si>
  <si>
    <t>เพื่อนำเสนอองค์ความรู้ด้านสุขภาพสู่เวทีสาธารณะ</t>
  </si>
  <si>
    <t>นักวิจัยทุกวิชาชีพ
จำนวน 25 อำเภอที่ได้รับการคัดเลือก</t>
  </si>
  <si>
    <t>1.ค่าใช้จ่ายในการเดินทางไปราชการ (ค่าที่พัก,ค่าเบี้ยเลี้ยง,ค่าน้ำมันเชื่อเพลิงฯลฯ)</t>
  </si>
  <si>
    <t>โครงการประชุมวิชาการ R2R Thailand</t>
  </si>
  <si>
    <t>1.นักวิจัยทุกวิชาชีพ
จำนวน 25 อำเภอที่ได้รับการคัดเลือก
2.คณะกรรมการระดับจังหวัด/อำเภอ</t>
  </si>
  <si>
    <t>1.ค่าใช้จ่ายในการเดินทางไปราชการ (ค่าที่พัก,ค่าเบี้ยเลี้ยง,ค่าใช้จ่ายในการเดินทางไปราชการฯลฯ)</t>
  </si>
  <si>
    <t>โครงการประชุมวิชาการกระทรวงสาธารณสุขประจำปี 2566</t>
  </si>
  <si>
    <t>เพื่อให้บุคลากรทางการแพทย์และสาธารณสุขได้แลกเปลี่ยนเรียนรู้ความรู้ด้านวิชาการ    
/งานวิจัย/R2R /นวัตกรรม  /KM และประสบการณ์การทำงานพร้อมทั้งเผยแพร่ผลงานวิชาการสู่เวทีสาธารณะ</t>
  </si>
  <si>
    <t>2.1 ผู้บริหาร/ผู้รับผิดชอบงานวิจัยฝ่ายต่างๆใน สสจ. จำนวน 25 คน</t>
  </si>
  <si>
    <t>2.1 ค่าลงทะเบียนประชุมวิชาการกระทรวง จำนวน 15 คน X 2,050 บาท</t>
  </si>
  <si>
    <t>นิฤมล 
กมุทชาติ</t>
  </si>
  <si>
    <t>2.2  ค่าที่พัก
- ผู้บริหาร จำนวน 5 คน X 3 คืน  X 1500 บาท = 22,500 บาท
- ผู้รับผิดชอบงานวิจัย จำนวน 10 คน X 3 คืน X 850 บาท = 25,500 บาท</t>
  </si>
  <si>
    <t xml:space="preserve">2.3.  ค่าเดินทาง
- ผู้บริหาร จำนวน 5 คน X 7,000 บาท </t>
  </si>
  <si>
    <t>2.4  เบี้ยเลี้ยง 
 - ผู้บริหาร จำนวน  5 คน X 1,080 บาท = 5400 บาท
- ผู้รับผิดชอบงานวิจัย จำนวน10 คนX 960 บาท = 9,600 บาท</t>
  </si>
  <si>
    <t xml:space="preserve">2.5  ค่าน้ำมันเชื้อเพลิงรถยนต์   จำนวน 2 คัน X 2 เที่ยว X 5,000 บาท  </t>
  </si>
  <si>
    <t>2. แผนงานที่ 2 การพัฒนาคุณภาพชีวิตระดับอำเภอ (พชอ.)และแผนงานที่ 5 PCU&amp;NPCU</t>
  </si>
  <si>
    <t xml:space="preserve"> 3. โครงการที่ 3 โครงการพัฒนาคุณภาพชีวิตระดับอำเภอ (พชอ.) และโครงการที่ 1 การพัฒนาระบบการแพทย์ปฐมภูมิ</t>
  </si>
  <si>
    <t>Service Excellence</t>
  </si>
  <si>
    <t>ที่ 5</t>
  </si>
  <si>
    <t>1 (PCU&amp;NPCU)</t>
  </si>
  <si>
    <t>3-19 (ทุกสาขา)</t>
  </si>
  <si>
    <t>โครงการประเมินรับรองคุณภาพมาตรฐานบริการสุขภาพปฐมภูมิ</t>
  </si>
  <si>
    <t>1. พัฒนาครู ก.ในการประเมิน</t>
  </si>
  <si>
    <t>1.1 เพื่อเรียนรู้เกณฑ์การประเมินใหม่ ที่ประกาศใช้ในปี 2566</t>
  </si>
  <si>
    <t>ผู้รับิดชอบงาน ปฐมภูมิ และทีมสหวิชาชีพ ประกอบด้วย ผช.สสอ./เภสัชกร/Lab/พยาบาล IC/นว.ยุทธ์ อำเภอละ 6-8 คน</t>
  </si>
  <si>
    <t>อบรม Online</t>
  </si>
  <si>
    <t>1.2 เพื่อให้เป็นทีมประเมินที่มีศักยภาพในระดับอำเภอและโซน</t>
  </si>
  <si>
    <t>2. ประเมินและรับรอง รพ.สต.ติดดาวตามเป้าหมาย</t>
  </si>
  <si>
    <t>รับรองคุณภาพ รพ.สต.</t>
  </si>
  <si>
    <t>1. ระดับอำเภอ ประเมินและรับรอง รพ.สต.ในอำเภอตามเป้าหมาย</t>
  </si>
  <si>
    <t>2. ระดับจังหวัด ประเมินและรับรองโดยทีมประเมินระดับจังหวัดที่แต่งตั้งจากผู้แทนโซน ประกอบด้วย สสอ./ผช.สสอ./เภสัช/พยาบาล/ยุทธศาสตร์ /สสจ. รวม 7 คน</t>
  </si>
  <si>
    <t>ค่าเบี้ยเลี้ยงในการเดินทางไปราชการ ของทีมประเมิน อัตรา 120 บาทต่อคน/วัน จำนวน 13 วัน</t>
  </si>
  <si>
    <t>2 ค่าอาหารว่างและเครื่องดื่ม 120 คน 4 ครั้งๆละ 25 บาท</t>
  </si>
  <si>
    <r>
      <t xml:space="preserve">1.ประชุมคณะทำงานเตรียมประกวดคัดเลือก อสม.ดีเด่น ระดับเขต ภาคฯ ปี 2566
</t>
    </r>
    <r>
      <rPr>
        <sz val="12"/>
        <color rgb="FFFF0000"/>
        <rFont val="Tahoma"/>
        <family val="2"/>
      </rPr>
      <t>2..ประชุมนำเสนอประกวด อสม.ดีเด่น 12 สาขา พร้อมคณะทำงานคัดเลือก อสม.ดีเด่น ฯ สาขาละ 10 คน รวมทั้งสิ้น 120 คน (มกราคม 2566 ณ 
ห้องประชุมสำนักงานสาธารณสุขจังหวัดอุบลราชธานี</t>
    </r>
    <r>
      <rPr>
        <sz val="12"/>
        <color theme="1"/>
        <rFont val="Tahoma"/>
        <family val="2"/>
      </rPr>
      <t xml:space="preserve">
</t>
    </r>
  </si>
  <si>
    <t>เพื่อประชุมชี้แจงแนวทางและเกณฑ์การคัดเลือก อสม.ดีเด่น ระดับจังหวัด ปี 2567 จำนวน 12 สาขา</t>
  </si>
  <si>
    <t xml:space="preserve">เพื่อประชุมคัดเลือก อสม.ดีเด่น ระดับจังหวัด ปี 2567 จำนวน 12 สาขา </t>
  </si>
  <si>
    <t>2 ค่าอาหารว่างและเครื่องดื่ม 160 คน 1 ครั้ง</t>
  </si>
  <si>
    <r>
      <rPr>
        <sz val="12"/>
        <color indexed="8"/>
        <rFont val="Tahoma"/>
        <family val="2"/>
      </rPr>
      <t xml:space="preserve"> - ค่าอาหารกลางวันพร้อมอาหารว่างและเครื่องดื่ม 30 คน x 120 บาท x</t>
    </r>
    <r>
      <rPr>
        <sz val="12"/>
        <color indexed="10"/>
        <rFont val="Tahoma"/>
        <family val="2"/>
      </rPr>
      <t xml:space="preserve"> 3 </t>
    </r>
    <r>
      <rPr>
        <sz val="12"/>
        <color indexed="8"/>
        <rFont val="Tahoma"/>
        <family val="2"/>
      </rPr>
      <t>ครั้ง</t>
    </r>
  </si>
  <si>
    <t>ประชุมเตรียมการคัดเลือก อสม.ดีเด่น ระดับชาติ ปี 2566 จำนวน 3 ครั้งๆ ละ 30 คน</t>
  </si>
  <si>
    <t>บูรณาการไม่ใช้งบ</t>
  </si>
  <si>
    <t xml:space="preserve">6000
</t>
  </si>
  <si>
    <t xml:space="preserve">  -ค่าวิทยากร 11 ชั่วโมง x 600 บาท
  Tele - conference
 </t>
  </si>
  <si>
    <t xml:space="preserve">คณะกรรมการพัฒนาคุณภาพบริการพยาบาลในชุมชนอำเภอละ5 คน จำนวน 1 รุ่น รวม 125 คน
 </t>
  </si>
  <si>
    <t xml:space="preserve">1.2 ค่าอาหารว่างและเครื่องดื่ม จำนวน 2 มื้อๆละ 25 บาท จำนวน 80 คน </t>
  </si>
  <si>
    <t>ประชุมเชิงปฏิบัติการคณะทำงานทีมผลิตสื่อวิดีทัศน์/สื่อออนไลน์ผู้แทนของหน่วยงานสาธารณสุขในจังหวัดอุบลราชธานี</t>
  </si>
  <si>
    <t>แพทย์เวชศาสตร์ครอบครัว และสหวิชาชีพที่เกี่ยวข้อง (25 คน)</t>
  </si>
  <si>
    <t xml:space="preserve"> ค่าอาหารว่างและเครื่องดื่ม 60คน 
จำนวน 2 มื้อๆละ 25 บาท จำนวน 4 ครั้ง (บูรณาการกับ HL)
</t>
  </si>
  <si>
    <t xml:space="preserve"> แผนปฏิบัติการสำนักงานสาธารณสุขจังหวัดอุบลราชธานี ประจำปีงบประมาณ พ.ศ. 2566</t>
  </si>
  <si>
    <t>2. แผนงาน (แผนงานกระทรวงสาธารณสุข ปี 65) ...........................................................................</t>
  </si>
  <si>
    <t xml:space="preserve"> 3. โครงการ (โครงการกระทรวงสาธารณสุข ปี 65) ...........................................................................</t>
  </si>
  <si>
    <t>งบ</t>
  </si>
  <si>
    <t>ผลผลิต สป.</t>
  </si>
  <si>
    <t>ผลผลิตเฉพาะ</t>
  </si>
  <si>
    <t>กองทุน</t>
  </si>
  <si>
    <t>บำรุง</t>
  </si>
  <si>
    <t>อื่นๆ</t>
  </si>
  <si>
    <t>ความสอดคล้อง</t>
  </si>
  <si>
    <t>โครงการพัฒนางานยุทธศาสตร์สาธารณสุขจังหวัดอุบลราชธานี ปี 2566</t>
  </si>
  <si>
    <t>ยุทธฯ</t>
  </si>
  <si>
    <t>1.ประชุมจัดทำยุทธศาสตร์การพัฒนางานและการจัดทำแผนปี 2566</t>
  </si>
  <si>
    <t>สร้างความร่วมมือบุคลากรทุกระดับ</t>
  </si>
  <si>
    <t>ผู้บริหาร นักวิชาการระดับจังหวัด อำเภอ จำนวน 30 คน 4 ครั้ง</t>
  </si>
  <si>
    <t xml:space="preserve">ค่าอาหารกลางวัน 70บาท 30 คน 4 ครั้ง
 </t>
  </si>
  <si>
    <t>ค่าอาหารว่างและเครื่องดื่ม 25 บาท 
จำนวน 2 มื้อ เช้า - บ่าย 30 คน 4 ครั้ง</t>
  </si>
  <si>
    <t xml:space="preserve">2. ประชุมสรุปผลงาน/ข้อเสนอการพัฒนางานปี 2566 </t>
  </si>
  <si>
    <t>บุคลากรสาธารณสุข 70  คน</t>
  </si>
  <si>
    <t>ค่าอาหารว่างและเครื่องดื่ม 25 บาท 
จำนวน 2 มื้อ 70 คน</t>
  </si>
  <si>
    <t xml:space="preserve"> ค่าอาหารกลางวันอัตรามื้อละ 70  บาท 
70 คน จำนวน1 มื้อ
 </t>
  </si>
  <si>
    <t>3.ประชุมพิจารณาการประเมินผล Ranking</t>
  </si>
  <si>
    <t>4.ประชุมถ่ายทอดนโยบายสู่การปฏิบัติและพิธีลงนามคำรับรองการปฏิบัติราชการ</t>
  </si>
  <si>
    <t>ถ่านทอดนโยบายสู่การปฏิบัติในบุคลากรทุกระดับ</t>
  </si>
  <si>
    <t>บุคลากรสาธารณสุข 100  คน</t>
  </si>
  <si>
    <t>5.ประชุมพิจารณาแผนปฏิบัติการ สสจ.อุบลราชธานี จำนวน 2 ครั้ง</t>
  </si>
  <si>
    <t>ผู้ปฏิบัติงานมีความเข้าใจการดำเนินงานตามยุทธศาสตร์ฯ</t>
  </si>
  <si>
    <t>บุคลากรสาธารณสุข 50  คน</t>
  </si>
  <si>
    <t xml:space="preserve"> ค่าอาหารกลางวันอัตรามื้อละ 70  บาท 
50 คน จำนวน 2 มื้อ
 </t>
  </si>
  <si>
    <t>ค่าอาหารว่างและเครื่องดื่ม 25 บาท 
จำนวน 4 มื้อ เช้า - บ่าย  50  คน</t>
  </si>
  <si>
    <t>โครงการประชุมรับนโยบายผู้บริหารระดับสูง</t>
  </si>
  <si>
    <t xml:space="preserve"> - จัดประชุมรับนโยบายผู้บริหารระดับสูง</t>
  </si>
  <si>
    <t>ผู้บริหาร บุคลากรระดับจังหวัด อำเภอ</t>
  </si>
  <si>
    <t xml:space="preserve"> ค่าอาหารว่าง/เครื่องดื่ม  เช้า / บ่าย 
200 คน  x 50บาท x2มื้อ </t>
  </si>
  <si>
    <t xml:space="preserve"> ค่าอาหารกลางวัน 200 คนx70บาทx 
1 ครั้ง</t>
  </si>
  <si>
    <t xml:space="preserve"> ค่าอาหารเย็น 200 คนx250 บาทx1 ครั้ง</t>
  </si>
  <si>
    <t xml:space="preserve"> ค่าอาหารว่าง/เครื่องดื่ม  เช้า / บ่าย 
90 คน  x 50บาท x2มื้อ </t>
  </si>
  <si>
    <t xml:space="preserve"> ค่าอาหารกลางวัน 90 คนx350 บาทx 1 ครั้ง
2 ครั้ง</t>
  </si>
  <si>
    <t>โครงการประชุมสรุปผลการดำเนินงานสาธารณสุขปี 2566 และจัดทำแผนปฏิบัติการปี 2567</t>
  </si>
  <si>
    <t xml:space="preserve"> - จัดประชุมสรุปผลงานรอบ 6 เดือน</t>
  </si>
  <si>
    <t>จัดประชุมสรุปผลงานรอบ 6 เดือน บูรณาการกับการประชุม กวป.</t>
  </si>
  <si>
    <t xml:space="preserve"> ค่าอาหารว่าง/เครื่องดื่ม  เช้า / บ่าย 
100 คน  x 50บาท x4มื้อ </t>
  </si>
  <si>
    <t xml:space="preserve"> ค่าอาหารไม่ครบมื้อ 100 คนx500 บาทx 
2 ครั้ง</t>
  </si>
  <si>
    <t xml:space="preserve"> ค่าอาหารครบมื้อ 100 คนx800 บาทx1 ครั้ง</t>
  </si>
  <si>
    <t>ค่าที่พัก 2 คืนๆละ 750 บาท/คน</t>
  </si>
  <si>
    <t>ค่าเบี้ยเลี้ยง อัตรา 160 บาท  100 คน 2 วัน</t>
  </si>
  <si>
    <t>ค่าจ้างเหมารถปรับอากาศ 2 ชั้น อัตราวันละ 15000 บาท/ วัน/คัน จำนวน 4วัน 2คัน</t>
  </si>
  <si>
    <t xml:space="preserve"> - จัดประชุมสรุปผลงานประจำปี</t>
  </si>
  <si>
    <t>จัดให้มีการสรุปผลงานประจำปี</t>
  </si>
  <si>
    <t>บุคคลากรสาธารณสุขทุกระดับ จำนวน100 คน</t>
  </si>
  <si>
    <t>โครงการตรวจราชการและนิเทศงานกรณีปกติปี 2566</t>
  </si>
  <si>
    <t>1.ประชุมเตรียมรับการตรวจราชการและนิเทศงาน 2 รอบ</t>
  </si>
  <si>
    <t>ประชุมเตรียมรับการตรวจราชการฯ 2 ครั้ง ๆ ละ
40 คน</t>
  </si>
  <si>
    <t>ค่าอาหารว่าง/เครื่องดื่ม 25 บาท x 2 มื้อ x 40 คน x 2 ครั้ง</t>
  </si>
  <si>
    <t>ค่าอาหารกลางวัน 70 บาท x 2 ครั้ง 40 คน</t>
  </si>
  <si>
    <t>2.ออกเตรียมพื้นที่รับการตรวจราชการ และนิเทศงาน 2 รอบ</t>
  </si>
  <si>
    <t xml:space="preserve">ออกพื้นที่เตรียมรับการตรวจราชการและนิเทศงาน
2 รอบ  จำนวน  20 คน จำนวน 3 วัน </t>
  </si>
  <si>
    <t xml:space="preserve">ค่าเบี้ยเลี้ยง 120 บาท x  20 คน x 3 วัน x
2 รอบ </t>
  </si>
  <si>
    <t>3.ประชุมร่วมรับการตรวจราชการและนิเทศงานกรณีปกติ 2 รอบ</t>
  </si>
  <si>
    <t>ประชุมร่วมรับการตรวจราชการฯ ระดับจังหวัด 2 รอบ ๆ ละ 120 คน 3 วัน</t>
  </si>
  <si>
    <t>ค่าอาหารกลางวัน 120 คน  x70 บาท X
 3 วัน x 2 รอบ</t>
  </si>
  <si>
    <t>ค่าอาหารว่าง/เครื่องดื่ม 25 บาท x 2 มื้อ x 120 คน x 3 วัน X 2 รอบ</t>
  </si>
  <si>
    <t>ค่าอาหารเย็น 120 คน  x70 บาท x 2 วัน
X 2 รอบ</t>
  </si>
  <si>
    <t>4.ออกพื้นที่รับการตรวจราชการและนิเทศงาน 2 รอบ</t>
  </si>
  <si>
    <t>ออกพื้นที่ร่วมรับตรวจราชการและนิเทศงาน 2 รอบ  จำนวน  40 คน จำนวน 1 วัน</t>
  </si>
  <si>
    <t>ค่าเบี้ยเลี้ยง 120 บาท x  40 คน x 1 วัน x
2 รอบ</t>
  </si>
  <si>
    <t>โครงการนิเทศงานสาธารณสุขผสมผสาน และประเมินผลการดำเนินงาน</t>
  </si>
  <si>
    <t>25  อำเภอ</t>
  </si>
  <si>
    <t>1. ประชุมปรับมาตรฐานผู้นิเทศงาน</t>
  </si>
  <si>
    <t>พัฒนาศักยภาพผู้นิเทศ</t>
  </si>
  <si>
    <t>ผู้นิเทศ 80  คน 1 ครั้ง</t>
  </si>
  <si>
    <t xml:space="preserve"> ค่าอาหารว่างและเครื่องดื่ม 2 มื้อๆละ 25 บาทจำนวน 80 คน จำนวน 1 วัน </t>
  </si>
  <si>
    <t xml:space="preserve"> -  ค่าอาหารกลางวันจำนวน 1  มื้อๆละ 70 บาท จำนวน 80 คน จำนวน 1 วัน </t>
  </si>
  <si>
    <t>2. ออกนิเทศงานสาธารณสุขผสมผสาน</t>
  </si>
  <si>
    <t>นิเทศงาน 2 ครั้ง/แห่ง/ปี</t>
  </si>
  <si>
    <t>ผู้นิเทศงาน 4 ทีมๆ ละ 17  คน  รวม 80 คน</t>
  </si>
  <si>
    <r>
      <t xml:space="preserve"> เบี้ยเลี้ยงผู้นิเทศงานระดับจังหวัด </t>
    </r>
    <r>
      <rPr>
        <b/>
        <u/>
        <sz val="11"/>
        <color rgb="FF000000"/>
        <rFont val="Tahoma"/>
        <family val="2"/>
      </rPr>
      <t xml:space="preserve">โซน 1 </t>
    </r>
    <r>
      <rPr>
        <b/>
        <sz val="11"/>
        <color rgb="FF000000"/>
        <rFont val="Tahoma"/>
        <family val="2"/>
      </rPr>
      <t xml:space="preserve">
= 20 คนX 6 อำเภอ  X 120 บาท X  2 รอบ</t>
    </r>
  </si>
  <si>
    <r>
      <t xml:space="preserve"> เบี้ยเลี้ยงผู้นิเทศงานระดับจังหวัด </t>
    </r>
    <r>
      <rPr>
        <b/>
        <u/>
        <sz val="11"/>
        <color rgb="FF000000"/>
        <rFont val="Tahoma"/>
        <family val="2"/>
      </rPr>
      <t xml:space="preserve">โซน 2 </t>
    </r>
    <r>
      <rPr>
        <b/>
        <sz val="11"/>
        <color rgb="FF000000"/>
        <rFont val="Tahoma"/>
        <family val="2"/>
      </rPr>
      <t xml:space="preserve">
= 20 คนX 6 อำเภอ  X 120 บาท X  2 รอบ</t>
    </r>
  </si>
  <si>
    <r>
      <t xml:space="preserve"> เบี้ยเลี้ยงผู้นิเทศงานระดับจังหวัด </t>
    </r>
    <r>
      <rPr>
        <b/>
        <u/>
        <sz val="11"/>
        <color rgb="FF000000"/>
        <rFont val="Tahoma"/>
        <family val="2"/>
      </rPr>
      <t xml:space="preserve">โซน 3 </t>
    </r>
    <r>
      <rPr>
        <b/>
        <sz val="11"/>
        <color rgb="FF000000"/>
        <rFont val="Tahoma"/>
        <family val="2"/>
      </rPr>
      <t xml:space="preserve"> 
(วาริน/นาเยีย/สว่างวีระวงศ์/สำโรง/พิบูล/
สิริรธร/โขงเจียม))
= 20 คนX 4 อำเภอ  X 120 บาท X  2 รอบ</t>
    </r>
  </si>
  <si>
    <r>
      <t xml:space="preserve"> เบี้ยเลี้ยงผู้นิเทศงานระดับจังหวัด </t>
    </r>
    <r>
      <rPr>
        <b/>
        <u/>
        <sz val="11"/>
        <color rgb="FF000000"/>
        <rFont val="Tahoma"/>
        <family val="2"/>
      </rPr>
      <t>โซน 4</t>
    </r>
    <r>
      <rPr>
        <b/>
        <sz val="11"/>
        <color rgb="FF000000"/>
        <rFont val="Tahoma"/>
        <family val="2"/>
      </rPr>
      <t xml:space="preserve"> 
= 20 คนX 6 อำเภอ  X 120  บาท X  2 รอบ</t>
    </r>
  </si>
  <si>
    <t>3. ประชุมสรุปผลการนิเทศงานและประเมินผล จำนวน 2 รอบ</t>
  </si>
  <si>
    <t xml:space="preserve">1.สรุปผลการนิเทศงาน 2 รอบ
</t>
  </si>
  <si>
    <t>ผู้นิเทศ 80  คน 2 รอบ</t>
  </si>
  <si>
    <t xml:space="preserve"> ค่าอาหารว่างและเครื่องดื่ม 2 มื้อๆละ 25 บาทจำนวน 80 คน จำนวน 1 วัน X 2 รอบ</t>
  </si>
  <si>
    <t xml:space="preserve"> -  ค่าอาหารกลางวันจำนวน 1  มื้อๆละ 70 บาท จำนวน 80 คน จำนวน 1 วัน X 2 รอบ</t>
  </si>
  <si>
    <t>โครงการประชุมเชิงปฏิบัติการการจัดแผนงาน/โครงการ เพื่อเสนอขอ งบกลุ่มจังหวัด และงบจังหวัดอุบลราชธานี (เพื่อของบปี 2568)</t>
  </si>
  <si>
    <t>1.ประชุมชี้แจงการจัดทำแผน /โครงการ เพื่อเสนอของบกลุ่มจังหวัด+งบจังหวัด ปี 2568</t>
  </si>
  <si>
    <t>เพื่อเตรียมแผน/โครงการเสนอของงบกลุ่มจังหวัด+งบจังหวัด ปี2567</t>
  </si>
  <si>
    <t>ประชุม จนท.กลุ่มงาน สสจ.อุบลฯ จำนวน 20 คน
1 วัน จำนวน 2 ครั้ง</t>
  </si>
  <si>
    <t xml:space="preserve">ค่าอาหารกลางวันอัตรามื้อละ 70  บาท  
20 คน จำนวน 1 มื้อ X 2 ครั้ง
 </t>
  </si>
  <si>
    <t>ค่าอาหารว่างและเครื่องดื่ม 25 บาท 
จำนวน 2 มื้อ เช้า - บ่าย  20 คน X  2 ครั้ง</t>
  </si>
  <si>
    <t>โครงการประกวดสถานบริการสาธารณสุข (รพช. สสอ. รพ.สต.)</t>
  </si>
  <si>
    <t>4.1 ประชุมเตรียมการประกวดระดับจังหวัด</t>
  </si>
  <si>
    <t>คณะกรรมการประกวด และ จนท.
ที่เกี่ยวข้อง 40 คน</t>
  </si>
  <si>
    <t>4.2คณะกรรมการออกเตรียมการประกวดฯระดับจังหวัด</t>
  </si>
  <si>
    <t>คณะกรรมการประกวด 15 คน</t>
  </si>
  <si>
    <t>4.3เตรียมการประกวดระดับพื้นที่</t>
  </si>
  <si>
    <t>คณะทำงานระดับจังหวัด / อำเภอ / อสม./ภาคีเครือข่าย/ชุมชน
รวม 20 คน 3 ครั้ง</t>
  </si>
  <si>
    <t>ค่าเบี้ยเลี้ยง จนท. อัตรา 120/คน/ครั้ง        จำนวน  20 คน 3 ครั้งๆ</t>
  </si>
  <si>
    <t>โครงการพัฒนาสถานีอนามัยเฉลิมพระเกียรติฯ ปี 2566</t>
  </si>
  <si>
    <t xml:space="preserve"> 1.1 ประชุมเตรียมการพัฒนาสถานีอนามัยเฉลิมพระเกียรติ 60 พรรษา นวมินทราชินี
</t>
  </si>
  <si>
    <t>เพื่อติดตามความก้าวหน้าสถานีอนามัยเฉลิมพระเกียรติฯ</t>
  </si>
  <si>
    <t>ผู้บริหาร หน.กลุ่มงานที่เกี่ยวข้อง และจนท.ผู้รับผิดชอบงาน 
จำนวน 50 คน</t>
  </si>
  <si>
    <t xml:space="preserve"> 1.2 ออกเตรียมพื้นที่รับการตรวจเยี่ยมสถานีอนามัยเฉลิมพระเกียรติ 60 พรรษา นวมินทราชินี
</t>
  </si>
  <si>
    <t xml:space="preserve">เพื่อเตรียมพื้นที่รับการตรวจเยี่ยมสถานีอนามัยเฉลิมพระเกียรติฯ </t>
  </si>
  <si>
    <t>ผู้บริหาร หน.กลุ่มงานที่เกี่ยวข้อง และจนท.ผู้รับผิดชอบงาน จำนวน 15 คน จำนวน 2 วัน</t>
  </si>
  <si>
    <t xml:space="preserve">ค่าเบี้ยเลี้ยง 120 บาท x  10 คน x 2 วัน </t>
  </si>
  <si>
    <t xml:space="preserve"> 1.3 ประชุมติดตามและสรุปผลการดำเนินงานสถานีอนามัยเฉลิมพระเกียรติ 60 พรรษา นวมินทราชินี
</t>
  </si>
  <si>
    <t>เพื่อติดตามผลการดำเนินงานสถานีอนามัยเฉลิมพระเกียรติฯ</t>
  </si>
  <si>
    <t xml:space="preserve">ผู้บริหาร หน.กลุ่มงานที่เกี่ยวข้อง บุคลากรระดับจังหวัด อำเภอ เจ้าหน้าที่ผู้รับผิดชอบงาน อสม. 100 คน </t>
  </si>
  <si>
    <t>โครงการประชุมวิชาการประจำเดือนผู้รับผิดชอบงานยุทธศาสตร์</t>
  </si>
  <si>
    <t xml:space="preserve"> จัดประชุมวิชาการผู้รับผิดชอบงานยุทธศาตร์ 2 เดือน / ครั้ง</t>
  </si>
  <si>
    <t xml:space="preserve">ผู้รับผิดชอบงานยุทธฯ จำนวน 70 คน </t>
  </si>
  <si>
    <r>
      <t xml:space="preserve">ค่าอาหารว่าง/เครื่องดื่ม 25 บาท/คน/มื้อ วันละ 2 มื้อ </t>
    </r>
    <r>
      <rPr>
        <b/>
        <sz val="11"/>
        <color rgb="FFFF0000"/>
        <rFont val="Tahoma"/>
        <family val="2"/>
      </rPr>
      <t>จำนวน  4 ครั้ง</t>
    </r>
  </si>
  <si>
    <t>ประชุมคณะกรรมการวางแผนและประเมินผล จังหวัดอุบลราชธานี (ประชุม กวป.)</t>
  </si>
  <si>
    <t>ผอ.รพช.สสอ.นักวิชาการผู้รับผิดชอบงานยุทธศาสตร์หัวหน้าส่วนศูนย์วิชาการ,หัวหน้ากลุ่มงาน/หัวหน้างาน,ผู้นิเทศงานในสนง.สสจ.</t>
  </si>
  <si>
    <t>ผอ.รพช.สสอ.นักวิชาการผู้รับผิดชอบงานยุทธศาสตร์หัวหน้าส่วนศูนย์วิชาการ,หัวหน้ากลุ่มงาน/หัวหน้างาน,ผู้นิเทศงานในสนง.สสจ.รวม 80 คน</t>
  </si>
  <si>
    <t>ค่าอาหารว่าง/เครื่องดื่ม 25 บาท/คน/มื้อ  จำนวน 80 คน วันละ 1 มื้อ จำนวน 12 วัน</t>
  </si>
  <si>
    <t>โครงการประชุมเชิงปฏิบัติการพัฒนาศักยภาพนักวิชาการผู้รับผิดชอบงานพัฒนายุทธศาสตร์สาธารณสุข</t>
  </si>
  <si>
    <t>1.จัดประชุมเชิงปฏิบัติการ</t>
  </si>
  <si>
    <t xml:space="preserve"> ค่าอาหารว่าง/เครื่องดื่ม  เช้า / บ่าย 
80 คน  x 50บาท x4มื้อ </t>
  </si>
  <si>
    <t>ประชุมคณะกรรมการบริหารระดับจังหวัด (ผู้บริหาร/หน.กลุ่มงาน)</t>
  </si>
  <si>
    <t>ผู้บริหาร หัวหน้ากลุ่มงาน/หัวหน้างาน/คณะเลขานุการ</t>
  </si>
  <si>
    <t>รวม 30 คน</t>
  </si>
  <si>
    <t xml:space="preserve"> ค่าอาหารกลางวันจำนวน 1  มื้อๆละ 70บาทX 30 คน X 12 ครั้ง</t>
  </si>
  <si>
    <t>จัดประชุม สัปดาห์ละ 1 ครั้ง</t>
  </si>
  <si>
    <t xml:space="preserve"> ค่าอาหารว่าง/เครื่องดื่ม ครั้งละ 1มื้อๆละ 25 บาท  36  ครั้ง</t>
  </si>
  <si>
    <t>โครงการกลุ่มผู้บริหารสาธารณสุขอำเภอและผู้อำนวยการโรงพยาบาล</t>
  </si>
  <si>
    <t>13.1 ประชุมกลุ่มสาธารณสุขอำเภอ</t>
  </si>
  <si>
    <t>ติดตามการดำเนินงานและแลกเปลี่ยนเรียนรู้ระหว่างผู้บริหาร</t>
  </si>
  <si>
    <t>สาธารณสุขอำเภอ 25 อำเภอ ประชุม 2 เดือน/1 ครั้ง จำนวน 6 ครั้ง</t>
  </si>
  <si>
    <t xml:space="preserve"> 1.ค่าอาหารกลางวัน อัตรามื้อละ 70 บาท จำนวน 6ครั้ง 25 คน</t>
  </si>
  <si>
    <t xml:space="preserve"> 2.ค่าอาหารว่างและเครื่องดื่ม อัตรามื้อละ 25 บาทจำนวน2มื้อX6 ครั้ง  จำนวน 25 คน  </t>
  </si>
  <si>
    <t>13.2ประชุมกลุ่มผู้ช่วยสาธารณสุขอำเภอ</t>
  </si>
  <si>
    <t>ติดตามการดำเนินงานและแลกเปลี่ยนเรียนรู้</t>
  </si>
  <si>
    <t>กลุ่มผู้ช่วยสาธารณสุขอำเภอ 25 อำเภอ ประชุม 2 เดือน/1 ครั้ง จำนวน 6 ครั้ง</t>
  </si>
  <si>
    <t xml:space="preserve"> 1.ค่าอาหารกลางวัน อัตรามื้อละ 70 บาท จำนวน 25 คน 6ครั้ง</t>
  </si>
  <si>
    <t>บริหารจัดการlสิ่งแวดล้อม โครงสร้างพื้นฐานของหน่วยบริการและหน่วยงาน (บูรณาการ งบลงทุน งบค่าเสื่อม ประจำปีงบประมาณ 2566)</t>
  </si>
  <si>
    <t xml:space="preserve"> 1.ประชุมผู้รับผิดชอบการจัดทำงบลงทุน งบค่าเสื่อม  จำนวน 3 ครั้ง</t>
  </si>
  <si>
    <t xml:space="preserve"> สำนักงานสาธารณสุขจังหวัดอุบลราชธานีสามารถการบริหารจัดการงบประมาณ งบลงทุนรายการครุภัณฑ์และสิ่งก่อสร้าง  และงบค่าเสื่อม ได้อย่างมีประสิทธิภาพ</t>
  </si>
  <si>
    <t>ผู้รับผิดชอบการจัดทำงบลงทุน งบค่าเสื่อมจำนวน 60 คน 3 ครั้ง</t>
  </si>
  <si>
    <t xml:space="preserve"> 1.ค่าอาหารกลางวัน อัตรามื้อละ 70 บาท จำนวน1ครั้ง 60 คน</t>
  </si>
  <si>
    <t xml:space="preserve"> 2.ค่าอาหารว่างและเครื่องดื่ม อัตรามื้อละ 25 บาทจำนวน2มื้อX1ครั้ง  จำนวน 60 คน  </t>
  </si>
  <si>
    <t xml:space="preserve"> 3. ประชุมคณะกรรมการบริหารจัดการงบลงทุน งบค่าเสื่อม ระดับจังหวัด 1 ครั้ง</t>
  </si>
  <si>
    <t xml:space="preserve"> คณะกรรมการบริหารจัดการงบลงทุน งบค่าเสื่อม ระดับ 30 คน    จำนวน 2 ครั้ง  </t>
  </si>
  <si>
    <t xml:space="preserve"> 1.ค่าอาหารกลางวัน อัตรามื้อละ 70 บาท จำนวน 2 ครั้ง 30 คน</t>
  </si>
  <si>
    <t xml:space="preserve"> 2.ค่าอาหารว่างและเครื่องดื่ม อัตรามื้อละ 25 บาทจำนวน2มื้อX2 ครั้ง  จำนวน 30 คน  </t>
  </si>
  <si>
    <t>ภ</t>
  </si>
  <si>
    <t>โครงการส่งเสริมการถ่ายโอน ภารกิจ  รพ.สต. ให้ แก่ อปท.</t>
  </si>
  <si>
    <t>ประเมินมาตรฐานการทำงาน ของ รพ.สต.ที่ถ่ายโอน ภารกิจ ให้ อปท.</t>
  </si>
  <si>
    <t>คณะทำงาน + กรรมการ 10 คน</t>
  </si>
  <si>
    <t>โครงการประชุมจัดทำแนวทางการดูแลคนไข้ในพระบรมราชานุเคราะห์/พระราชานุเคราะห์ ทุกพระองค์</t>
  </si>
  <si>
    <t xml:space="preserve"> 1. ประชุมชี้แจงแนวทางการดูแลคนไข้ในพระบรมราชานุเคราะห์/พระราชานุเคราะห์ ทุกพระองค์</t>
  </si>
  <si>
    <t>ชี้แจงแนวทางการดูแลคนไข้ในพระบรมราชานุเคราะห์/พระราชานุเคราะห์ ทุกพระองค์ ให้แก่คณะกรรมการได้รับทราบ</t>
  </si>
  <si>
    <t>คณะกรรมการ จำนวน 150 คน</t>
  </si>
  <si>
    <t>ค่าอาหารว่างและเครื่องดื่ม 25 บาท จำนวน 1 ครั้ง 150 คน</t>
  </si>
  <si>
    <t>2. ประชุมสรุปผลการติดตามดูแลคนไข้ในพระบรมราชานุเคราะห์/พระราชานุเคราะห์ ทุกพระองค์</t>
  </si>
  <si>
    <t>ติดตามดูแลคนไข้ในพระบรมราชานุเคราะห์/พระราชานุเคราะห์ ทุกพระองค์ รับทราบปัญหา อุปสรรค</t>
  </si>
  <si>
    <t>ค่าอาหารว่างและเครื่องดื่ม 25 บาท จำนวน 1 ครั้ง150 คน</t>
  </si>
  <si>
    <t>การพัฒนาระบบสารสนเทศสำหรับโรงพยาบาล</t>
  </si>
  <si>
    <t xml:space="preserve">บำรุง </t>
  </si>
  <si>
    <t xml:space="preserve"> - การประชุมเชิงปฏิบัติการทีม System Analysis</t>
  </si>
  <si>
    <t>เพื่อให้ระบบสารสนเทศสำหรับโรงพยาบาล (HI) ตอบสนองความต้องการของผู้ใช้งานทุกระดับ</t>
  </si>
  <si>
    <t xml:space="preserve"> - ทีม System Analysis จำนวน 20 คน
 </t>
  </si>
  <si>
    <t xml:space="preserve"> - ค่าอาหารกลางวัน 20 คน *  8 ครั้ง * 70 บาท</t>
  </si>
  <si>
    <t xml:space="preserve"> - ค่าอาหารว่างและเครื่องดื่ม เช้า บ่าย 20 คน * 8 ครั้ง * 50 บาท</t>
  </si>
  <si>
    <t xml:space="preserve"> - การประชุมเชิงปฏิบัติการทีม Programmer</t>
  </si>
  <si>
    <t xml:space="preserve"> - ทีม Programmer จำนวน 15 คน</t>
  </si>
  <si>
    <t xml:space="preserve"> - ค่าอาหารกลางวัน 15 คน * 11 ครั้ง * 5 วัน * 70 บาท</t>
  </si>
  <si>
    <t xml:space="preserve"> - ค่าอาหารว่างและเครื่องดื่ม เช้า บ่าย 15 คน * 5 ครั้ง * 5 วัน * 50 บาท</t>
  </si>
  <si>
    <t xml:space="preserve"> - การประชุมเชิงปฏิบัติการทีม API &amp; Report</t>
  </si>
  <si>
    <t xml:space="preserve"> - ทีม API &amp; Report จำนวน 10 คน</t>
  </si>
  <si>
    <t xml:space="preserve"> - ค่าอาหารกลางวัน 10 คน * 5 ครั้ง * 2 วัน * 70 บาท</t>
  </si>
  <si>
    <t xml:space="preserve"> - ค่าอาหารว่างและเครื่องดื่ม เช้า บ่าย 10 คน * 5 ครั้ง * 2 วัน * 50 บาท</t>
  </si>
  <si>
    <t xml:space="preserve"> - การประชุม User Requirement</t>
  </si>
  <si>
    <t xml:space="preserve"> - จำนวน 50 คน2 ครั้ง</t>
  </si>
  <si>
    <t xml:space="preserve"> - ค่าอาหารกลางวัน 50 คน * 2 ครั้ง *70 บาท</t>
  </si>
  <si>
    <t xml:space="preserve"> - ค่าอาหารว่างและเครื่องดื่ม เช้า บ่าย 50 คน * 2 ครั้ง * 50 บาท</t>
  </si>
  <si>
    <t>การขยายการดำเนินงานระบบ Smart Refer สู่หน่วยบริการปฐมภูมิ</t>
  </si>
  <si>
    <t xml:space="preserve"> - การประชุมทีม Programmer</t>
  </si>
  <si>
    <t>เพื่อให้ผู้รับบริการระบบส่งต่อ ได้รับบริการที่ถูกต้อง รวดเร็ว หน่วยงานมีข้อมูลเพื่อใช้ในการบริหารเชิงยุทธศาสตร์</t>
  </si>
  <si>
    <t>จำนวน 15 คน 4 ครั้งๆละ 2 วัน</t>
  </si>
  <si>
    <t xml:space="preserve"> - ค่าอาหารกลางวัน 15 คน * 4 ครั้ง * 2 วัน * 70 บาท</t>
  </si>
  <si>
    <t xml:space="preserve"> - ค่าอาหารว่างและเครื่องดื่ม เช้า บ่าย 15 คน * 4 ครั้ง * 2 วัน * 50 บาท</t>
  </si>
  <si>
    <t xml:space="preserve"> - การประชุมเชิงปฏิบัติการทีมผู้ดูแลระบบหน่วยบริการปฐมภูมิระดับอำเภอ</t>
  </si>
  <si>
    <t>จำนวน 50 คน 2 ครั้งๆละ 1 วัน</t>
  </si>
  <si>
    <t xml:space="preserve"> - ค่าอาหารกลางวัน 50 คน *70 บาท</t>
  </si>
  <si>
    <t xml:space="preserve"> - ค่าอาหารว่างและเครื่องดื่ม เช้า บ่าย 50 คน *  50 บาท</t>
  </si>
  <si>
    <t>พัฒนาความเข้มแข็ง ระบบสาธารณสุขชายแดนระดับอำเภอ</t>
  </si>
  <si>
    <t>10 อำเภอชายแดน</t>
  </si>
  <si>
    <t>กยผ</t>
  </si>
  <si>
    <t>เพื่อพัฒนาระบบสาธารณสุขชายแดนระดับอำเภอ ตามบริบทพื้นที่</t>
  </si>
  <si>
    <t>สนับสนุบการดำเนินงานสาธารณสุขชายแดนระดับอำเภอ อำเภอละ 50,000บาท 10 อำเภอ เป็นเงิน</t>
  </si>
  <si>
    <t>สนับสนุนโรงพยาบาล อำเภอชายแดน พัฒนาระบบบริการที่เป็นมิตรกับชาวต่างชาติ</t>
  </si>
  <si>
    <t>รพ.เขมราฐ, รพ.นาตาล, รพ.โพธิ์ไทร, รพ.โขงเจียม, รพ.สิรินธร,รพ.บุณฑริก, รพ.น้ำยืน</t>
  </si>
  <si>
    <t>กอง บส.</t>
  </si>
  <si>
    <t>พัฒนาระบบบริการที่เป็นมิตรกับชาวต่างชาติ</t>
  </si>
  <si>
    <t>เพื่อพัฒนาระบบบริการที่เป็นมิตรกับชาวต่างชาติ</t>
  </si>
  <si>
    <t>โรงพยาบาลชายแดนที่มีด่านผ่อนปรน หรือด่านถาวร 7 อำเภอ ( รพ.เขมราฐ, รพ.นาตาล, รพ.โพธิ์ไทร, รพ.โขงเจียม, รพ.สิรินธร,รพ.บุณฑริก, รพ.น้ำยืน)</t>
  </si>
  <si>
    <t>สนับสนุบการดำเนินงานพัฒนาระบบบริการที่ป็นมิตรกับชาวต่างชาติ โรงพยาบาลละ 10,000บาท เป็นเงิน</t>
  </si>
  <si>
    <t>โครงการแก้ไขปัญหา ฟื้นฟูและเยียวยาผู้ได้รับผลกระทบกรณีสถานการณ์อุทกภัย</t>
  </si>
  <si>
    <t xml:space="preserve"> - จัดหน่วยบริการทางการแพทย์และสาธาร</t>
  </si>
  <si>
    <t>ให้บริการในศูนย์พักพิงชั่วคราว</t>
  </si>
  <si>
    <t xml:space="preserve"> - ค่าเบี้ยเลี้ยง/ค่าตองแทนการปฏิบัติงานนอกเวลาราชการ </t>
  </si>
  <si>
    <t>จัดซื้อวัสดุ อุปกรณ์</t>
  </si>
  <si>
    <t>ค่าวัสดุ อุปกรณ์</t>
  </si>
  <si>
    <t xml:space="preserve"> - ค่าขนส่งเวชภัณฑ์</t>
  </si>
  <si>
    <t>ค่าขนส่งเวชภัณฑ์</t>
  </si>
  <si>
    <t>โครงการพัฒนาศักยภาพบุคลากรด้านการบริหารจัดการโครงการอย่างมืออาชีพ</t>
  </si>
  <si>
    <t>พัฒนาศักยภาพบุคลากร</t>
  </si>
  <si>
    <t>ผู้บริหารและบุคลากรมีทักษะการบริหารจัดการโครงการ</t>
  </si>
  <si>
    <t xml:space="preserve">จำนวน 100 คน </t>
  </si>
  <si>
    <t xml:space="preserve"> - ค่าอาหารกลางวัน 100 คน *  2 วัน * 300 บาท</t>
  </si>
  <si>
    <t xml:space="preserve"> - ค่าอาหารว่างและเครื่องดื่ม เช้า บ่าย 100 คน * 4 ครั้ง * 25 บาท</t>
  </si>
  <si>
    <t xml:space="preserve">โครงการภายใต้แผนงานความร่วมมือเพื่อพัฒนาความร่วมมือไทย-กัมพูชา สาขาสาธารณสุข  </t>
  </si>
  <si>
    <t>พนมวรรณ์ สว่างแก้ว</t>
  </si>
  <si>
    <t>TICA</t>
  </si>
  <si>
    <t>ประชุมพัฒนาระบบเฝ้าระวังโรคข้ามแดน และการแลกเปลี่ยนข้อมูล ระหว่างเมืองคู่ขนาน อ.น้ำยืน จ.อุบลราชธานี-อ.จอมกะสาน จ.พระวิหาร (จัดประชุมที่ โรงพยาบาลจอมกระสาน 1 ครั้ง /จัดประชุมที่โรงพยาบาลน้ำยืน 1 ครั้ง)</t>
  </si>
  <si>
    <t>เพื่อพัฒนาระบบเฝ้าระวังโรคข้ามแดน และการแลกเปลี่ยนข้อมูล ระหว่างเมืองคู่ขนาน</t>
  </si>
  <si>
    <t>เจ้าหน้าที่สาธารณสุข และเจ้าหน้าที่ความมั่นคงไทย 20 คน   / เจ้าหน้าที่สาธารณสุข อำเภอจอมกระสาน 20 คน</t>
  </si>
  <si>
    <r>
      <rPr>
        <b/>
        <u/>
        <sz val="16"/>
        <rFont val="TH SarabunPSK"/>
        <family val="2"/>
      </rPr>
      <t>ครั้งที่ 1</t>
    </r>
    <r>
      <rPr>
        <sz val="16"/>
        <rFont val="TH SarabunPSK"/>
        <family val="2"/>
      </rPr>
      <t>ค่าเบี้ยเลี้ยงเจ้าหน้าที่ไทย 20คน x 2100 บาท x 1 วัน เป็นเงิน</t>
    </r>
  </si>
  <si>
    <t>พนมวรรณ์ สว่างแก้ว / รพ.น้ำยืน</t>
  </si>
  <si>
    <t>ค่าเช่ารถพร้อมน้ำมันเชื้อเพลิง (ในประเทศกัมพูชา) 15,000บาท x 1 คัน x 1 วัน เป็นเงิน</t>
  </si>
  <si>
    <t>ค่าอาหารว่างและเครื่องดื่มเจ้าหน้าที่กัมพูชา 20 คน x 50 บาท x2 มื้อ เป็นเงิน</t>
  </si>
  <si>
    <t xml:space="preserve">ค่าตอบแทนล่าม 1 คน x 600บาท x 5 ชม. เป็นเงิน </t>
  </si>
  <si>
    <t>ค่าอาหารกลางวันเจ้าหน้าที่กัมพูชา 20 คน x 150 บาท x1 มื้อ เป็นเงิน</t>
  </si>
  <si>
    <r>
      <rPr>
        <b/>
        <u/>
        <sz val="16"/>
        <rFont val="TH SarabunPSK"/>
        <family val="2"/>
      </rPr>
      <t>ครั้งที่ 2</t>
    </r>
    <r>
      <rPr>
        <sz val="16"/>
        <rFont val="TH SarabunPSK"/>
        <family val="2"/>
      </rPr>
      <t xml:space="preserve"> ค่าเดินทางเจ้าหน้าที่กัมพูชาจาก รพ.จอมกระสาน ถึง ด่านช่องอานม้า 20 คน x 500 บาท เป็นเงิน</t>
    </r>
  </si>
  <si>
    <t>ค่าเช่ารถพร้อมน้ำมันเชื้อเพลิง 2 คัน x 2500บาท เป็นเงิน</t>
  </si>
  <si>
    <t>ค่าอาหารว่างและเครื่องดื่ม  40 คน x 25 บาท x2 มื้อ เป็นเงิน</t>
  </si>
  <si>
    <t>ค่าอาหารกลางวัน40 คน x100 บาท x1 มื้อ เป็นเงิน</t>
  </si>
  <si>
    <t>การซ้อมรับอุบัติเหตุหมู่ระหว่างเมืองคู่มิตร น้ำยืน-น้ำขุ่น-จอมกระสาน</t>
  </si>
  <si>
    <t xml:space="preserve">เพื่อเตรียมรับกรณีเกิดอุบัติเหตุหมู่ที่พรมแดนประเทศเพื่อนบ้าน </t>
  </si>
  <si>
    <t xml:space="preserve">แพทย์ พยาบาล และบุคลากรสาธารณสุข รพ.ชุมชน/สสอ./รพ.สต./งานควบคุมโรค เครือข่ายความมั่นคง/ปกครอง/ผู้นำชุมชน อ.น้ำยืน และ.อ.จอมกระสาน จ.พระวิหาร รวม 60 คน </t>
  </si>
  <si>
    <t xml:space="preserve">ค่าอาหารกลางวัน 60 คน x100 บาท x2 มื้อ เป็นเงิน                              </t>
  </si>
  <si>
    <t>ค่าอาหารว่างและเครื่องดื่ม 60 คน x 25 บาท x4 มื้อ เป็นเงิน</t>
  </si>
  <si>
    <t>ค่าวิทยากรกลุ่ม 6 คน x 6 ชม.x 600 บาท เป็นเงิน</t>
  </si>
  <si>
    <t>วิทยากรเดี่ยว 1 คน x 3 ชม.x 1 วัน เป็นเงิน</t>
  </si>
  <si>
    <t>ค่าที่พัก ชาวกัมพูชา 600 บาท x 20 คน เป็นเงิน</t>
  </si>
  <si>
    <t>ค่าที่พักวิทยากร และล่าม 600 บาท x 7 คน 1 คืน เป็นเงิน</t>
  </si>
  <si>
    <t>ค่าเดินทาง จนท..กัมพูชา(ไป-กลับ) 20 คน x 500 บาท เป็นเงิน</t>
  </si>
  <si>
    <t>ค่าตอบแทนล่าม  1 คน x 600 บาท x 5 ชม.x 2 วัน เป็นเงิน</t>
  </si>
  <si>
    <t xml:space="preserve">ค่าน้ำมันรถยนต์ทางราชการ </t>
  </si>
  <si>
    <t>ค่าวัสดุประกอบการอบรม (ชุดอุปกรณ์ซ้อม Table Top)</t>
  </si>
  <si>
    <t>พัฒนาศักยภาพบุคลากรทางการแพทย์และสาธารณสุข ระดับอำเภอ รุ่นที่ 1 (บุคลากรทางการแพทย์ และสาธารณสุขจากโรงพยาบาลจอมกระสาน และ เจ้าหน้าที่ Health Center ฝึกประสบการณ์ที่โรงพยาบาลน้ำยืน อำเภอน้ำยืน จังหวัดอุบลราชธานี หลักสูตร 10 วัน)</t>
  </si>
  <si>
    <t>๑.เพื่อพัฒนาศักยภาพบุคลากรทางการแพทย์และสาธารณสุขให้กับ โรงพยาบาลจอมกระสาน และ เจ้าหน้าที่ Health Center</t>
  </si>
  <si>
    <t>บุคลากร โรงพยาบาลจอมกระสาน และ เจ้าหน้าที่ Health Center 15 คน</t>
  </si>
  <si>
    <t>ค่าเบี้ยเลี้ยงผู้เข้าอบรม 15 คน x 500 บาท x 10 วัน เป็นเงิน</t>
  </si>
  <si>
    <t>ค่าที่พัก 15 คน x 600 บาท x 13 วัน (รวมเสาร์-อาทิตย์) เป็นเงิน</t>
  </si>
  <si>
    <t>ค่าเดินทาง จาก อ.จอมกระสาน ถึงด่านช่องอานม้า 15 คน x 500 บาท เป็นเงิน</t>
  </si>
  <si>
    <t>ค่าตอบแทนวิทยากร 1 คน x 600 บาท x 7 ชม.x 10 วัน เป็นเงิน</t>
  </si>
  <si>
    <t>ค่าตอบแทนล่าม 1 คน x 600บาท x 5 ชม.x 10 วัน เป็นเงิน</t>
  </si>
  <si>
    <t>ค่าเช่ารถรับ-ส่ง 2 คัน x 2500 บาท x 2 ครั้ง เป็นเงิน</t>
  </si>
  <si>
    <t>ประชุมเตรียมความพร้อมการอบรมระยะสั้นบุคลากรทางการแพทย์โรงพยาบาลจอมกระสาน</t>
  </si>
  <si>
    <t>เพื่อเตรียมความพ้อมการอบรมระยะสั้นบุคลากรทางการแพทย์โรงพยาบาลจอมกระสาน</t>
  </si>
  <si>
    <t>เจ้าหน้าที่โรงพยาบาลน้ำยืน /ทีมวิทยากร 30 คน</t>
  </si>
  <si>
    <t>ค่าอาหารว่างและเครื่องดื่ม 30 คน x 25 บาท x2 มื้อ เป็นเงิน</t>
  </si>
  <si>
    <t>ค่าอาหารกลางวัน 30 คน x100 บาท x1 มื้อ เป็นเงิน</t>
  </si>
  <si>
    <r>
      <t xml:space="preserve">ให้ประชุม Onsite </t>
    </r>
    <r>
      <rPr>
        <b/>
        <sz val="11"/>
        <color rgb="FFFF0000"/>
        <rFont val="Tahoma"/>
        <family val="2"/>
      </rPr>
      <t>3 ครั้ง</t>
    </r>
    <r>
      <rPr>
        <b/>
        <sz val="11"/>
        <color theme="1"/>
        <rFont val="Tahoma"/>
        <family val="2"/>
      </rPr>
      <t xml:space="preserve"> และผ่านระบบ Online 2 ครั้ง</t>
    </r>
  </si>
  <si>
    <r>
      <t>ค่าอาหารกลางวันอัตรา 70บาท/คน จำนวน 70 คน 3</t>
    </r>
    <r>
      <rPr>
        <b/>
        <sz val="11"/>
        <color rgb="FFFF0000"/>
        <rFont val="Tahoma"/>
        <family val="2"/>
      </rPr>
      <t>ครั้ง</t>
    </r>
  </si>
  <si>
    <t>ค่าอาหารกลางวัน 70 บาท x6 ครั้ง 80 คน</t>
  </si>
  <si>
    <t xml:space="preserve">ประชุม จนท.ผู้รับผิดชอบงานพัฒนายุทธศาสตร์ สสจ./สสอ./ รพ.  จำนวน 80 คน
1 วัน </t>
  </si>
  <si>
    <t xml:space="preserve"> ค่าอาหารกลางวัน 80 คนx70 บาทx 
1 ครั้ง</t>
  </si>
  <si>
    <t>ค่าเบี้ยเลี้ยง 10 คน 120 บาท จำนวน 10 วัน</t>
  </si>
  <si>
    <t>โครงการอบรมทางไกล ( Telaconference ) การวิจัยกัญชาทางการแพทย์และการแพทย์แผนไทย</t>
  </si>
  <si>
    <t>.๑ เพื่อสร้างความรู้  การดำเนินการวิจัยด้านการแพทย์แผนไทย   อย่างมีคุณภาพให้กับบุคลากรด้านการแพทย์แผนไทย
 ๒ เพื่อให้การวิจัยทางการแพทย์แผนไทยเป็นไปตามจริยธรรมการวิจัย
 ๓ เพื่อให้บุคลากรทางการแพทย์แผนไทยและการแพทย์ทางเลือก ในสถานบริการสาธารณสุขทุกแห่งในจังหวัดอุบลราชธานี นำความรู้ด้านการแพทย์แผนไทยไปปรับใช้สำหรับบริการในสถานบริการสาธารณสุขของรัฐให้แก่ประชาชน</t>
  </si>
  <si>
    <t>บุคลากรทางการแพทย์แผนไทยในสถานบริการสาธารณสุขของรัฐ ในจังหวัดอุบลราชธานี ทุกอำเภอ</t>
  </si>
  <si>
    <t>P</t>
  </si>
  <si>
    <t xml:space="preserve"> - ค่าอาหารกลางวัน 
70 บาท x 10 คน x 2 วัน</t>
  </si>
  <si>
    <t>กำแหง</t>
  </si>
  <si>
    <t xml:space="preserve"> - ค่าอาหารว่างและเครื่องดื่ม  50 บาท   x 10 คน x 2 วัน  </t>
  </si>
  <si>
    <t xml:space="preserve"> - ค่าวิทยากร 600 บาท x 6 ชั่วโมง x 2 วัน</t>
  </si>
  <si>
    <t>โครงการประชุมคณะกรรมการบริหารเวชภัณฑ์ยา ปีงบประมาณ 2566</t>
  </si>
  <si>
    <t>เพื่อบริหารจัดการเวชภัณฑ์ยาสมุนไพร ในศูนย์ส่งเสริมสุขภาพแผนไทย ปีงบประมาณ 2566</t>
  </si>
  <si>
    <t>บุคลากรผู้เกี่ยวข้องในการให้บริการยาสมุนไพร ในศูนย์ส่งเสริมสุขภาพแผนไทยตามคำสั่งฯ</t>
  </si>
  <si>
    <r>
      <t xml:space="preserve"> -</t>
    </r>
    <r>
      <rPr>
        <b/>
        <sz val="10"/>
        <color theme="1"/>
        <rFont val="Tahoma"/>
        <family val="2"/>
      </rPr>
      <t xml:space="preserve">- </t>
    </r>
    <r>
      <rPr>
        <sz val="10"/>
        <color theme="1"/>
        <rFont val="Tahoma"/>
        <family val="2"/>
      </rPr>
      <t>ค่าอาหารกลางวัน = 70 บาท  X 1 ครั้ง X 10 คน X</t>
    </r>
    <r>
      <rPr>
        <sz val="10"/>
        <color rgb="FFFF0000"/>
        <rFont val="Tahoma"/>
        <family val="2"/>
      </rPr>
      <t xml:space="preserve"> 2 วัน  </t>
    </r>
    <r>
      <rPr>
        <sz val="10"/>
        <color theme="1"/>
        <rFont val="Tahoma"/>
        <family val="2"/>
      </rPr>
      <t xml:space="preserve">    </t>
    </r>
    <r>
      <rPr>
        <b/>
        <sz val="10"/>
        <color theme="1"/>
        <rFont val="Tahoma"/>
        <family val="2"/>
      </rPr>
      <t xml:space="preserve"> </t>
    </r>
  </si>
  <si>
    <t>ฑิฆัมพร พันธุ์พินิจ</t>
  </si>
  <si>
    <r>
      <rPr>
        <sz val="10"/>
        <color rgb="FFFF0000"/>
        <rFont val="Tahoma"/>
        <family val="2"/>
      </rPr>
      <t xml:space="preserve">  </t>
    </r>
    <r>
      <rPr>
        <sz val="10"/>
        <color theme="1"/>
        <rFont val="Tahoma"/>
        <family val="2"/>
      </rPr>
      <t xml:space="preserve">    </t>
    </r>
    <r>
      <rPr>
        <b/>
        <sz val="10"/>
        <color theme="1"/>
        <rFont val="Tahoma"/>
        <family val="2"/>
      </rPr>
      <t xml:space="preserve"> -</t>
    </r>
    <r>
      <rPr>
        <sz val="10"/>
        <color theme="1"/>
        <rFont val="Tahoma"/>
        <family val="2"/>
      </rPr>
      <t xml:space="preserve"> ค่าอาหารว่าง = 25 บาท x 1 ครั้ง x 10 คน x 2</t>
    </r>
    <r>
      <rPr>
        <sz val="10"/>
        <color rgb="FFFF0000"/>
        <rFont val="Tahoma"/>
        <family val="2"/>
      </rPr>
      <t xml:space="preserve"> วัน</t>
    </r>
    <r>
      <rPr>
        <sz val="10"/>
        <color theme="1"/>
        <rFont val="Tahoma"/>
        <family val="2"/>
      </rPr>
      <t xml:space="preserve">   </t>
    </r>
  </si>
  <si>
    <t>โครงการอบรมพัฒนาระบบข้อมูลและเทคโนโลยีเพื่อการบริหารกองทุนแพทย์แผนไทย ปี 2566 ผ่านระบบ Telaconference</t>
  </si>
  <si>
    <t>เพื่อเพิ่มความรู้ความเข้าใจในการลงข้อมูล และระบบเทคโนโลยีสารสนเทศที่เกี่ยวกับงานแพทย์แผนไทย</t>
  </si>
  <si>
    <t xml:space="preserve"> - ผู้รับผิดชอบงาน IT
 - ผู้รับผิดชอบงานแพทย์แผนไทย ระดับ สสจ/ รพ./สสอ./รพ.สต..</t>
  </si>
  <si>
    <t xml:space="preserve"> - ค่าอาหารกลางวัน 70 บาท x 15 คน x 1ครั้ง
</t>
  </si>
  <si>
    <t>วรางคณา</t>
  </si>
  <si>
    <t xml:space="preserve"> - ค่าอาหารว่างและเครื่องดื่ม 25 บาท x 2 มื้อ x 15 คน x 1ครั้ง</t>
  </si>
  <si>
    <t>โครงการคัดเลือกหมอพื้นบ้าน หมอไทย เจ้าหน้าที่ปฏิบัติงาน และพื้นที่ต้นแบบดีเด่น จังหวัดอุบลราชธานี ปี 2566</t>
  </si>
  <si>
    <t xml:space="preserve">เพื่อคัดเลือกการดำเนินงาน ตามเกณฑ์กรมการแพทย์แผนไทยและการแพทย์ทางเลือก ในหน่วยบริการทุกระดับ ได้แก่ หมอพื้นบ้าน, หมอไทย, เจ้าหน้าที่ปฏิบัติงานด้านการแพทย์แผนไทย, และพื้นที่ต้นแบบดีเด่น ระดับจังหวัด </t>
  </si>
  <si>
    <t xml:space="preserve"> ประชุมครั้งที่ 1 ประชุมคณะกรรมการ                       - ค่าอาหารกลางวัน 
70 บาท x 15 คน </t>
  </si>
  <si>
    <t xml:space="preserve"> - ค่าอาหารว่างและเครื่องดื่ม 25 บาท x 2 มื้อ x 15 คน </t>
  </si>
  <si>
    <t xml:space="preserve">ประชุมครั้งที่ 2 ประชุมคัดเลือกฯ                             - ค่าอาหารกลางวัน 
70 บาท x 50 คน </t>
  </si>
  <si>
    <t xml:space="preserve"> - ค่าอาหารว่างและเครื่องดื่ม 25 บาท x 2 มื้อ x 50 คน </t>
  </si>
  <si>
    <t xml:space="preserve"> - ค่าใบประกาศนียบัตร พร้อมกรอบ ชุดละ 120 x 24 ชุด</t>
  </si>
  <si>
    <t xml:space="preserve">โครงการพัฒนาระบบมาตรฐานการแพทย์แผนไทยและการแพทย์ทางเลือก จังหวัดอุบลราชธานี       </t>
  </si>
  <si>
    <t>1.ประชุมชี้แจงงานการประเมินมาตรฐานหน่วยบริการสาธารณสุข จังหวัดอุบลราชธานี</t>
  </si>
  <si>
    <t>1.เพื่อให้หน่วยบริการรับทราบเกณฑ์การประเมินหน่วยบริการสาธารณสุข กรมการแพทย์แผนไทยและการแพทย์ทางเลือก        2. เพื่อให้หน่วยบริการมีความรู้ความเข้าใจการพัฒนาหน่วยบริการให้มีคุณภาพ มีมาตรฐานตมเกณฑ์</t>
  </si>
  <si>
    <t>ผู้รับผิดชอบงาน รพศ/ รพท./ รพช. และ สสอ. จังหวัดอุบลราชธานี ทุกแห่ง</t>
  </si>
  <si>
    <t xml:space="preserve"> - ค่าอาหารกลางวัน 
70 บาท x 60 คน </t>
  </si>
  <si>
    <t xml:space="preserve"> - ค่าอาหารว่างและเครื่องดื่ม 25 บาท x 2 มื้อ x 60 คน </t>
  </si>
  <si>
    <t>2. จัดทำใบประกาศรับรองมาตรฐานฯให้หน่วยบริการทุกแห่งที่ได้รับการรับรองจากกรมการแพทย์แผนไทยและการแพทย์ทางเลือก</t>
  </si>
  <si>
    <t>เพื่อให้หน่วยบริการที่กรมการแพทย์แผนไทยและการแพทย์ทางเลือก ประกาศรับรองผลการประเมินมาตรฐาน ได้รับใบประกาศรับรองตามผลการประเมิน</t>
  </si>
  <si>
    <t>หน่วยบริการสาธารณสุขจังหวัดอุบลราชธานีที่ได้รับการประกาศรับรองมาตรฐานจากกรมการแพทย์แผนไทยและการแพทย์ทางเลือก ปี 2565</t>
  </si>
  <si>
    <t xml:space="preserve"> - ค่าจัดทำใบประกาศรับรองมาตรฐานฯให้หน่วยบริการทุกแห่งที่ได้รับการประเมินปี 65 จำนวน 234 แห่ง x ใบละ 20 บาท</t>
  </si>
  <si>
    <t>โครงการประชุมคณะกรรมการหมอพื้นบ้านจังหวัดอุบลราชธานี ปี2566</t>
  </si>
  <si>
    <t>1.เพื่อพิจารณาการออกหนังสือรับรองและต่ออายุหนังสือรับรองหมอพื้นบ้าน  2.เพื่อพิจารณาให้พักใช้หนังสือรับรองหมอพื้นบ้าน กรณีคุณสมบัติและลักษณะกิจกรรมตามหลักเกณฑ์</t>
  </si>
  <si>
    <t>คณะกรรมการตามคำสั่งแต่งตั้งคณะกรรมการหมอพื้นบ้านจังหวัดอุบลราชธานี ปี2562</t>
  </si>
  <si>
    <t xml:space="preserve"> - ค่าเบี้ยเลี้ยง ตามระเบียบ1,000 บาท x 26 คน x 1 วัน</t>
  </si>
  <si>
    <t>ผกาวรรณ และ สุภาวดี</t>
  </si>
  <si>
    <t>กองทุนภูมิปัญญา</t>
  </si>
  <si>
    <t xml:space="preserve"> - ค่าอาหารกลางวัน 70 บาท x 35 คน x1มื้อ</t>
  </si>
  <si>
    <t xml:space="preserve"> - ค่าอาหารว่างและเครื่องดื่ม  25 บาท x 35 คน x 2 มื้อ   </t>
  </si>
  <si>
    <t>โครงการตรวจประเมินสถานที่ศึกษาวิจัยหรือส่งออกสมุนไพรควบคุม(กัญชา)หรือจำหน่ายหรือแปรรูปสมุนไพรควบคุมเพื่อการค้า พ.ศ.2559</t>
  </si>
  <si>
    <t xml:space="preserve"> เพื่อตรวจสอบรายละเอียดตามแบบคำขอให้ชัดเจนว่าไม่ผิดเงื่อนไขตามเกณฑ์การอนุญาตก่อนเสนอความเห็นให้นายแพทย์สาธารณสุขจังหวัดลงนามในฐานะผู้อนุญาต</t>
  </si>
  <si>
    <t>สถานที่ขออนุญาต จำนวน       50 แห่ง</t>
  </si>
  <si>
    <t xml:space="preserve"> - ค่าเบี้ยเลี้ยง 4 คน ประกอบด้วย จนท.สสจ. 3 คน และ พขร 1คน 120 บาท x4 คน x 20 วัน</t>
  </si>
  <si>
    <t>ผกาวรรณและ สุภาวดี</t>
  </si>
  <si>
    <t xml:space="preserve"> - กระดาษสำหรับทำใบอนุญาต กระดาษแข็งชนิด160แกรม   แพ็คละ100 แผ่น 10 แพ็คๆละ100 บาท</t>
  </si>
  <si>
    <t>โครงการจัดงานวันภูมิปัญญาการแพทย์แผนไทยแห่งชาติและพระบิดาแห่งการแพทย์ แผนไทย ประจำปี 2565 จังหวัดอุบลราชธานี</t>
  </si>
  <si>
    <t>1.เพื่อน้อมระลึกถึงพระคุณครูอาจารย์และครูผู้มีคุณูปการต่อการแพทย์แผนไทยทั้งในอดีตและปัจจุบัน                        2.เพื่อเฉลิมพระเกียรติและสำนึกในพระมหากรุณาธิคุณพระบาทสมเด็จพระนั่งเกล้าเจ้าอยู่หัวพระมหาเจษฎาราชเจ้ารัชกาลที่ 3 "พระบิดาการแพทย์แผนไทย</t>
  </si>
  <si>
    <t xml:space="preserve"> - ภาคีเครือข่ายแพทย์แผนไทย 5 กลุ่ม ประกอบด้วย-กลุ่มผู้ปลูกผู้ผลิต-กลุ่มผู้แปรรูปและผู้จำหน่าย -กลุ่มองค์กรเอกชนพัฒนาการแพทย์แผนไทย- กลุ่มนักวิชาการ และ-กลุ่มผู้มีใบประกอบวิชาชีพ(แผนไทย,ประยุกต์)หมอพื้นบ้าน</t>
  </si>
  <si>
    <t xml:space="preserve"> จัดงานวันภูมิปัญญา               -  ค่าอาหารกลางวัน 70 บาท x 366 คน</t>
  </si>
  <si>
    <t xml:space="preserve"> - ค่าอาหารว่างและเครื่องดื่ม 25 บาท x 2 มื้อ x 366 คน </t>
  </si>
  <si>
    <t>โครงการประชุมวิชาการประจำปีการแพทย์แผนไทยและการแพทย์พื้นบ้าน และการแพทย์ทางเลือกแห่งชาติ งานมหกรรมสมุนไพรแห่งชาติ ครั้งที่ 20</t>
  </si>
  <si>
    <t xml:space="preserve"> เพื่อพัฒนาศักยภาพบุคลากรสาธารณสุขทั้งแผนปัจจุบัน และแผนไทย แพทย์พื้นบ้าน ตลอดจนภาคีเครือข่ายด้านวิชาการในงานมหกรรมสมุนไพรแห่งชาติ
</t>
  </si>
  <si>
    <t>ภาคีเครือข่ายแพทย์แผนไทยสำนักงานสาธารณสุขจังหวัดอุบลราชธานี</t>
  </si>
  <si>
    <r>
      <t xml:space="preserve"> - ค่</t>
    </r>
    <r>
      <rPr>
        <sz val="10"/>
        <color rgb="FFFF0000"/>
        <rFont val="Tahoma"/>
        <family val="2"/>
      </rPr>
      <t>าที่พัก 1500 x 5 ห้อง x 4 คืน</t>
    </r>
  </si>
  <si>
    <t>ผกาวรรณ/สุภาวดี</t>
  </si>
  <si>
    <t xml:space="preserve"> - ค่าเบี้ยเลี้ยง 240 บาท x 10 คน x 6 วัน</t>
  </si>
  <si>
    <t xml:space="preserve"> - ค่าน้ำมันเชื้อเพลิง </t>
  </si>
  <si>
    <t>โครงการประชุมวิชาการการแพทย์แผนไทย ระดับภูมิภาค ประจำปี 2565</t>
  </si>
  <si>
    <t xml:space="preserve"> เพื่อสนับสนุนให้บุคลากรสาธารณสุขแพทย์แผนไทย แพทย์พื้นบ้าน  และภาคีเครือข่ายได้แลกเปลี่ยนเรียนรู้ในงานประชุมวิชาการระดับภาค
</t>
  </si>
  <si>
    <t>ภาคีเครือข่ายแพทย์แผนไทยจังหวัดอุบลราชธานี</t>
  </si>
  <si>
    <t xml:space="preserve"> - ค่าที่พัก 1200 x 3 ห้อง x 2 คืน</t>
  </si>
  <si>
    <t xml:space="preserve"> - ค่าเบี้ยเลี้ยง 240 บาท x 6 คน x 4 วัน</t>
  </si>
  <si>
    <t>โครงการอนุรักษ์คุ้มครอง และเฝ้าระวังป้องปรามการละเมิดสิทธิในภูมิปัญญาการแพทย์แผนไทย จังหวัดอุบลราชธานีปีงบประมาณ 2566</t>
  </si>
  <si>
    <t>1.ประชุมคณะกรรมการผู้ทรงคุณวุฒิระดับจังหวัด      2.เพื่อให้เกิดการเฝ้าระวังป้องปรามการละเมิดสิทธิในภูมิปัญญาการแพทย์แผนไทย</t>
  </si>
  <si>
    <t>หมอพื้นบ้าน 25 คน/แพทย์แผนไทย 25คนนักวิชาการสาธารณสุขผู้ปลูก ผู้แปรรูปตัวแทนวิสาหกิจชุมชนผู้จำหน่ายสมุนไพรจำนวน 16 คนรวม 66 คน</t>
  </si>
  <si>
    <t xml:space="preserve"> -  ค่าอาหารกลางวัน 70 บาท x66 คน</t>
  </si>
  <si>
    <t xml:space="preserve"> - ค่าอาหารว่างและเครื่องดื่ม 25 บาท x 2 มื้อ x 66 คน </t>
  </si>
  <si>
    <t>แผนไทย</t>
  </si>
  <si>
    <t>กองทุนต่างด้าว</t>
  </si>
  <si>
    <t>สปสช.</t>
  </si>
  <si>
    <t xml:space="preserve"> แผนปฏิบัติการกลุ่มงานคุ้มครองผู้บริโภคและเภสัชสาธารณสุข สำนักงานสาธารณสุขจังหวัดอุบลราชธานี ประจำปีงบประมาณ พ.ศ. 2566</t>
  </si>
  <si>
    <t>2. แผนงาน (แผนงานกระทรวงสาธารณสุข ปี ๖6) ...........................................................................</t>
  </si>
  <si>
    <t xml:space="preserve"> 3. โครงการ (โครงการกระทรวงสาธารณสุข ปี ๖6) ...........................................................................</t>
  </si>
  <si>
    <t>โครงการพัฒนางานทะเบียนใบอนุญาต และระบบสารสนเทศด้านบริการสุขภาพ ปีงบประมาณ 2566</t>
  </si>
  <si>
    <t>คบส.</t>
  </si>
  <si>
    <t>1.ประชุมคณะอนุกรรมการสถานพยาบาลประจำจังหวัดอุบลราชธานี</t>
  </si>
  <si>
    <t>ค่าอาหารกลางวัน  
70 บาท * 10 คน*1มื้อ * 8 ครั้ง
ค่าอาหารว่างและเครื่องดื่ม 
25 บาท * 10 คน * 2มื้อ * 8 ครั้ง</t>
  </si>
  <si>
    <t xml:space="preserve"> ค่าเบี้ยประชุม 7 คน คนละ 1,000บาท จำนวน 8 ครั้ง </t>
  </si>
  <si>
    <t>2.ประชุมคณะกรรมการสถานประกอบการเพื่อสุขภาพ จังหวัดอุบลราชธานี</t>
  </si>
  <si>
    <t xml:space="preserve">ค่าอาหารว่างและเครื่องดื่ม จำนวน 20  คน คนละ 25 บาท จำนวน 6 ครั้ง </t>
  </si>
  <si>
    <t>โครงการพัฒนางานทะเบียนใบอนุญาต และระบบสารสนเทศด้านผลิตภัณฑ์สุขภาพ ปีงบประมาณ 2566</t>
  </si>
  <si>
    <t>คบส</t>
  </si>
  <si>
    <t>ม.44</t>
  </si>
  <si>
    <t>1.จัดทำแบบฟอร์มและเอกสารที่เกียวข้องกับการขออนุญาต/การต่ออายุ/คู่มือ/วัสดุสำนักงาน/สื่อประชาสัมพันธ์</t>
  </si>
  <si>
    <t>1 บริการประชาชนเกี่ยวกับงานทะเบียนใบอนุญาตผลิตภัณฑ์สุขภาพ</t>
  </si>
  <si>
    <t>ผู้ประกอบการ
ผู้มารับบริการที่กลุ่มงานคุ้มครองผู้บริโภค
เจ้าหน้าที่</t>
  </si>
  <si>
    <t>จัดซื้อวัสดุสำนักงาน</t>
  </si>
  <si>
    <t>จัดจ้างทำแบบฟอร์มและเอกสารที่   เกี่ยวข้องกับการขออนุญาต/การต่ออายุ/  คู่มือ/วัสดุสำนักงาน/สื่อประชาสัมพันธ์/</t>
  </si>
  <si>
    <t>2.ค่าตอบแทนล่วงเวลา/ค่าเบี้ยเลี้ยง</t>
  </si>
  <si>
    <t>2 เพื่อสนับสนุนกระบวนการพิจารณาอนุญาตผลิตภัณฑ์สุขภาพ</t>
  </si>
  <si>
    <t>ค่าตอบแทนล่วงเวลา
 (ธค/มค/กพ/มีค/เมย./พค)
5 คน * 50 บาท/ชม*45 ชม* 6 ครั้ง</t>
  </si>
  <si>
    <t>ค่าเบี้ยเลี้ยง
3คน * 120 บาท * 25 ครั้ง</t>
  </si>
  <si>
    <t>3. ปรับปรุงศูนย์บริการผลิตภัณฑ์สุขภาพเบ็ดเสร็จ เพื่อให้ได้มาตรฐานตามเกณฑ์</t>
  </si>
  <si>
    <t>จัดซื้อวัสดุจราจร/วัสดุการเกษตร</t>
  </si>
  <si>
    <t>จ้างเหมาปรับปรุงงศูนย์บริการผลิตภัณฑ์สุขภาพเบ็ดเสร็จ</t>
  </si>
  <si>
    <t>ม.44 อย.</t>
  </si>
  <si>
    <t>โครการตรวจสอบเฝ้าระวังผลิตภัณฑ์สุขภาพนำเข้า และพัฒนามาตรฐานห้องปฏิบัติการ 
ณ ด่านอาหารและยา ช่องเม็ก อุบลราชธานี ปีงบประมาณ 2566</t>
  </si>
  <si>
    <t>อย.</t>
  </si>
  <si>
    <t>1.ประชุม/อบรม เจ้าหน้าที่ผู้ปฏิบัติงานระดับอำเภอ และคณะกรรมการบริหารคุณภาพ</t>
  </si>
  <si>
    <t>เพื่อพัฒนาศักยภาพเจ้าหน้าที่</t>
  </si>
  <si>
    <t>คณะกรรมการบริหารคุณภาพ, เจ้าหน้าที่ผู้ปฏิบัติงาน</t>
  </si>
  <si>
    <t xml:space="preserve">"- ประชุมคณะกรรมการบริหารคุณภาพ ค่าอาหารว่างและเครื่องดื่ม 1 มื้อจำนวน 20 คน x 25 บาท = 500     
-ประชุมเจ้าหน้าที่ผู้ปฏิบัติงานระดับ อำเภอ                                         
-'ค่าอาหารกลางวัน จำนวน 15 คน x 70 บาท = 1,050 บาท                         
-ค่าอาหารว่างและเครื่องดื่ม จำนวน 15 คน x 25 บาท = 375 บาท  </t>
  </si>
  <si>
    <t>งานด่านอาหารและยา</t>
  </si>
  <si>
    <t xml:space="preserve">2. จ้างเหมาบริการ งานเก็บตัวอย่างและตรวจวิเคราะห์เบื้องต้น งานตรวจสอบ บันทึกข้อมูล จัดทำรายงานและพัฒนามาตรฐานห้องปฏิบัติการ
</t>
  </si>
  <si>
    <t>จ้างเหมาบริการ เพื่อดำเนินการตรวจสอบผลิตภัณฑ์สุขภาพนำเข้าเบื้องต้น</t>
  </si>
  <si>
    <t>ตรวจสอบเฝ้าระวัง ผลิตภัณฑ์สุขภาพเบื้องต้น</t>
  </si>
  <si>
    <t>จ้างเหมาบริการ แบ่งเป็น 12 งวดงาน   (ตค 65 - ก.ย. 66)                           
- งานเก็บตัวอย่าง และตรวจวิเคราะห์เบื้องต้น งวดงานละ 14,000 บาท         
- งานตรวจสอบผลิตภัณฑ์สุขภาพนำเข้า และบันทึกข้อมูลฯ งวดงานละ 13,000 บาท</t>
  </si>
  <si>
    <t xml:space="preserve">3. ค่าสาธารณูปโภค (ค่าน้ำ, ค่าไฟฟ้า) </t>
  </si>
  <si>
    <t xml:space="preserve">ค่าน้ำ, ค่าไฟฟ้า </t>
  </si>
  <si>
    <t>ค่าน้ำ, ค่าไฟฟ้า 1,600 x 12 เดือน</t>
  </si>
  <si>
    <t xml:space="preserve">4. ตรวจสอบและเฝ้าระวังผลิตภัณฑ์สุขภาพนำเข้า ณ ด่านอาหารและยาช่องเม็ก และพัฒนา ปรับปรุง ซ่อมบำรุงห้องปฏิบัติการตรวจวิเคราะห์เบื้องต้น        
</t>
  </si>
  <si>
    <t>ผลิตภัณฑ์สุขภาพที่นำเข้า ณ ด่านอาหารและยาช่องเม็ก มีคุณภาพตามมาตรฐานที่กำหนด และ ห้องปฏิบัตการตรวจวิเคราะห์เบื้องต้น ได้รับการพัฒนา ปรับปรุง ซ่อมบำรุง</t>
  </si>
  <si>
    <t>ผลิตภัณฑ์สุขภาพที่นำเข้า ณ ด่านอาหารและยาช่องเม็ก และ ห้องปฏิบัติการตรวจวิเคราะห์เบื้องต้น</t>
  </si>
  <si>
    <t>- ค่าตรวจวิเคราะห์ผลิตภัณฑ์สุขภาพ ทางห้องปฏิบัติการ  3,000  บาท        
- ค่าเบี้ยเลี้ยง 120 บาท x 20 วัน       
= 2,400 บาท                              
-ค่าวัสดุสำนักงาน  5,575 บาท           
-ค่าน้ำมันเชื้อเพลิง 10,000 บาท         
-ค่าจ้างเหมาสอบเทียบเครื่องมือ วิทยาศาสตร์  8,500 บาท                
- ค่าจ้างเหมาปรับปรุงห้องปฏิบัติการ 2,000 บาท</t>
  </si>
  <si>
    <t xml:space="preserve">5. ประชุม/อบรม ผู้ประกอบการนำเข้าผลิตภัณฑ์สุขภาพ </t>
  </si>
  <si>
    <t>เพื่อพัฒนาศักยภาพผู้ประกอบการนำเข้าผลิตภัณฑ์สุขภาพ</t>
  </si>
  <si>
    <t>ผู้ประกอบการนำเข้าผลิตภัณฑ์สุขภาพ</t>
  </si>
  <si>
    <t xml:space="preserve">- ค่าอาหารกลางวัน จำนวน 35 คน x 70 บาท = 2,450 บาท                     
- ค่าอาหารว่างและเครื่องดื่ม จำนวน 35 คน x 25 บาท x 2 มื้อ = 1,750     </t>
  </si>
  <si>
    <t>E1</t>
  </si>
  <si>
    <t xml:space="preserve">โครงการส่งเสริมและพัฒนาความปลอดภัยด้านอาหาร จังหวัดอุบลราชธานี </t>
  </si>
  <si>
    <t xml:space="preserve">การส่งเสริมและพัฒนาความปลอดภัยด้านอาหาร จังหวัดอุบลราชธานี </t>
  </si>
  <si>
    <t xml:space="preserve"> 1. ประชุมคณะกรรมการ/คณะทำงาน</t>
  </si>
  <si>
    <t>เพื่อให้ประชาชนบริโภคอาหารสดและอาหารแปรรูปที่มีความปลอดภัย</t>
  </si>
  <si>
    <t xml:space="preserve">1.1 จัดประชุมคณะทำงานพัฒนาระบบคุณภาพงานอาหารปลอดภัย สำนักงานสาธารณสุขจังหวัด
อุบลราชธานี </t>
  </si>
  <si>
    <t>1) เพื่อสำรวจ กำหนด และวิเคราะห์ เป้าหมายผลิตภัณฑ์อาหาร ปีงบประมาณ 2566
2) เพื่อยกร่างแผนบูรณาการดำเนินงานอาหารปลอดภัยตลอดห่วงโซ่(ร่างบูรณาการอาหารปลอดภัย จังหวัดอุบลราชธานี</t>
  </si>
  <si>
    <t>คณะทำงานพัฒนาระบบ คุณภาพงานอาหารปลอดภัย  สนง.สสจ.อบ.
จำนวน  20  คน</t>
  </si>
  <si>
    <t xml:space="preserve">ค่าอาหารว่างและเครื่องดื่ม
20 คนX25 บาท X 2 ครั้ง
</t>
  </si>
  <si>
    <t>คบส (พิชญ์สินี)</t>
  </si>
  <si>
    <t>1.2 จัดประชุมคณะทำงานองค์กรอาหารปลอดภัยด้วยเกษตรอินทรีย์ สำนักงานสาธารณสุขจังหวัดอุบลราชธานี</t>
  </si>
  <si>
    <t>1) จัดทำแผนงาน/โครงการ และกลั่นกรองแผนการดำเนินงานองค์กรอาหารปลอดภัยด้วยเกษตรอินทรีย์ สำนักงานสาธารณสุขจังหวัดอุบลราชธานี                     2) จัดให้มีหรือส่งเสริมสนับสนุนให้มีการจัดปัจจัยแวดล้อมภายในองค์กร เพื่อส่งเสริมสุขภาวะที่ดี               3) ติดตามผลการดำเนินงานองค์กรอาหารปลอดภัยด้วยเกษตรอินทรีย์ สำนักงานสาธารณสุขจังหวัดอุบลราชธานี</t>
  </si>
  <si>
    <t>คณะทำงานองค์กรอาหารปลอดภัยด้วยเกษตรอินทรีย์ สำนักงานสาธารณสุขจังหวัดอุบลราชธานี จำนวน 30 คน</t>
  </si>
  <si>
    <t>ค่าอาหารว่างและเครื่องดื่ม 30 คน X 25 บาท X 2 ครั้ง</t>
  </si>
  <si>
    <t>คบส(พิชญ์สินี)</t>
  </si>
  <si>
    <t>1.3 จัดประชุมคณะกรรมการอาหารจังหวัดอุบลราชธานี</t>
  </si>
  <si>
    <t>1) เพื่ออนุมัติแผนบูรณาการดำเนินงานอาหารปลอดภัยตลอดห่วงโซ่ระดับจังหวัด 
 อุบลราชธานี ปีงบประมาณ 2566</t>
  </si>
  <si>
    <t>คณะกรรมการอาหารจังหวัดอุบลราชธานี
จำนวน 60 คน</t>
  </si>
  <si>
    <t xml:space="preserve">ค่าอาหารว่างและเครื่องดื่ม
60 คนX25 บาท X 2 ครั้ง
</t>
  </si>
  <si>
    <t>คบส (ณัฏฐณิชา)</t>
  </si>
  <si>
    <t>2) เพื่อติดตามผลการดำเนินงาน ปัญหา อุปสรรค
ในการดำเนินงานตามแผน</t>
  </si>
  <si>
    <t xml:space="preserve">1.4 จัดประชุมคณะทำงานภายใต้แผนบูรณาการอาหารปลอดภัย จังหวัดอุบลราชธานี </t>
  </si>
  <si>
    <t xml:space="preserve">เพื่อวางแผนและดำเนินงานภายใต้แผนบูรณาการอาหารจังหวัดอุบลราชธานี ปี 2565 </t>
  </si>
  <si>
    <t>คณะทำงานฯ จำนวน 4 คณะ  รวมเป็น 110 คน</t>
  </si>
  <si>
    <t xml:space="preserve">ค่าอาหาร อาหารว่างและเครื่องดื่ม
110 คนX120 บาท X 2 ครั้ง
</t>
  </si>
  <si>
    <t>คบส(ณัฏฐณิชา)</t>
  </si>
  <si>
    <t xml:space="preserve">2.พัฒนาศักยภาพผู้ประกอบการ
สถานที่ผลิตอาหาร/สถานที่จำหน่ายอาหาร
  </t>
  </si>
  <si>
    <t>1) เพื่ออบรม ชี้แจง และทำความเข้าใจแก่ผู้ประกอบการให้รับทราบและปฏิบัติตามกฎหมาย                           2)พัฒนายกระดับสถานที่และคุณภาพผลิตภัณฑ์แปรรูปจากเนื้อสัตว์                        3)พัฒนายกระดับสถานที่และผลิตภัณฑ์สุขภาพ ชุมชน (OTOP)/เศรษฐกิจฐานราก</t>
  </si>
  <si>
    <t>2.1 อบรมเชิงปฏิบัติการผู้ประกอบการผลิตน้ำบริโภคในภาชนะบรรจุที่ปิดสนิท/น้ำแข็ง</t>
  </si>
  <si>
    <t>ผู้ประกอบการผลิตน้ำบริโภคและน้ำแข็ง จำนวน 229 คน</t>
  </si>
  <si>
    <t xml:space="preserve">ค่าอาหาร อาหารว่างและเครื่องดื่ม
229 คนX120 บาท X1 ครั้ง
</t>
  </si>
  <si>
    <t>คบส (สวนิตย์)</t>
  </si>
  <si>
    <t>ค่าวิทยากร อัตรา 600บาท/คน/ชั่วโมงx1คนx6ชั่วโมง</t>
  </si>
  <si>
    <t xml:space="preserve">2.2 อบรมเชิงปฏิบัติการผู้ประกอบการผลิตอาหาร   แปรรูปจากเนื้อสัตว์ </t>
  </si>
  <si>
    <t>ผู้ประกอบการผลิตอาหารแปรรูปจากเนื้อสัตว์ จำนวน 60 คน</t>
  </si>
  <si>
    <t xml:space="preserve">  /</t>
  </si>
  <si>
    <t xml:space="preserve">ค่าอาหาร อาหารว่างและเครื่องดื่ม
60 คนX120 บาท X2 ครั้ง
</t>
  </si>
  <si>
    <t>2.3 อบรมเชิงปฏิบัติการผู้ประกอบการผลิตผลิตภัณฑ์สุขภาพชุมชน/ระบบเศรษฐกิจฐานราก</t>
  </si>
  <si>
    <t>ผู้ประกอบการผลิตผลิตภัณฑ์สุขภาพชุมชน/ระบบเศรษฐกิจฐานราก จำนวน 150 คน</t>
  </si>
  <si>
    <t xml:space="preserve">ค่าอาหาร อาหารว่างและเครื่องดื่ม
150 คนX120 บาท X1 ครั้ง
</t>
  </si>
  <si>
    <t>ค่าตอบแทนวิทยากร อัตรา 600บาท/คน/ชั่วโมงx1คนx6ชั่วโมง</t>
  </si>
  <si>
    <t>2.4 อบรมเชิงปฏิบัติการเพื่อพัฒนายกระดับศูนย์เรียนรู้การผลิตผลิตภัณฑ์สุขภาพชุมชน (OTOP) ด้านอาหาร</t>
  </si>
  <si>
    <t>ผู้ประกอบการศูนย์เรียนรู้การผลิตผลิตภัณฑ์สุขภาพชุมชน (OTOP) จำนวน 30 คน</t>
  </si>
  <si>
    <t>ค่าอาหาร อาหารว่างและเครื่องดื่ม
30 คนX120 บาท X2 ครั้ง</t>
  </si>
  <si>
    <t>3. ตรวจสอบเฝ้าระวังและพัฒนาสถานที่ผลิตอาหาร</t>
  </si>
  <si>
    <t>ค่าเบี้ยเลี้ยง อัตรา 120 บาทx3คนx22วัน</t>
  </si>
  <si>
    <t xml:space="preserve">3.1 สถานที่ผลิตด้านมาตรฐานสถานที่ผลิต (คัดและบรรจุ) ผักและผลไม้
</t>
  </si>
  <si>
    <t>เพื่อพัฒนาผักผลไม้ ณ สถานที่ผลิต (คัดและบรรจุ) ให้มีความปลอดภัยและแสดงฉลากถูกต้อง</t>
  </si>
  <si>
    <t xml:space="preserve">สถานที่ผลิต (คัดและบรรจุ) ผักและผลไม้สด
จำนวน 4 แห่ง
</t>
  </si>
  <si>
    <r>
      <t xml:space="preserve"> </t>
    </r>
    <r>
      <rPr>
        <sz val="16"/>
        <rFont val="TH SarabunPSK"/>
        <family val="2"/>
      </rPr>
      <t xml:space="preserve"> /</t>
    </r>
  </si>
  <si>
    <t>3.2. ตรวจประเมินสถานที่ผลิต/นำเข้า/จำหน่าย (ตามตัวชี้วัดที่ อย. กำหนด)</t>
  </si>
  <si>
    <t xml:space="preserve">ตรวจประเมินสถานที่ผลิต/นำเข้า/จำหน่าย </t>
  </si>
  <si>
    <t xml:space="preserve">  3.2.1 สถานที่ผลิตผลิตภัณฑ์สุขภาพชุมชนด้านอาหารตามหลักเกณฑ์ GMP</t>
  </si>
  <si>
    <t>ตามแผนเพื่อควบคุมกำกับมาตรฐานสถานที่ผลิต
ตามเกณฑ์ GMP</t>
  </si>
  <si>
    <t>สถานที่ผลิตผลิตภัณฑ์สุขภาพชุมชนด้านอาหาร จำนวน 90  แห่ง (25 อำเภอ)</t>
  </si>
  <si>
    <t xml:space="preserve">  3.2.2 สถานที่ผลิตก๋วยจั๊บ</t>
  </si>
  <si>
    <t>สถานที่ผลิตอาหารกลุ่มเสี่ยง
จำนวน  20 แห่ง</t>
  </si>
  <si>
    <t xml:space="preserve">  3.2.3 สถานที่ผลิตนมโรงเรียน</t>
  </si>
  <si>
    <t>สถานที่ผลิตนมโรงเรียน จำนวน 3 แห่ง x 9 ครั้ง
(อ.วารินชำราบและเดชอุดม)</t>
  </si>
  <si>
    <t xml:space="preserve">  3.2.4 สถานที่ผลิตผลิตภัณฑ์เสริมอาหาร</t>
  </si>
  <si>
    <t>สถานที่ผลิตผลิตภัณฑ์เสริมอาหาร จำนวน 2 แห่ง</t>
  </si>
  <si>
    <t xml:space="preserve">  3.2.5 สถานที่ผลิตน้ำปลาและน้ำเกลือปรุงอาหาร</t>
  </si>
  <si>
    <t>สถานที่ผลิตน้ำปลาและน้ำเกลือปรุงอาหาร จำนวน 2 แห่ง (เมืองและวารินฯ) 2 ครั้ง</t>
  </si>
  <si>
    <t xml:space="preserve"> 3.2.6 สถานที่ผลิตน้ำบริโภคฯ/น้ำแข็ง</t>
  </si>
  <si>
    <t>สถานที่ผลิตน้ำบริโภคฯ/น้ำแข็ง 25 อำเภอ</t>
  </si>
  <si>
    <t xml:space="preserve"> 3.2.7 สถานที่ผลิตผลิตภัณฑ์จากเนื้อสัตว์ </t>
  </si>
  <si>
    <t>สถานที่ผลิตผลิตภัณฑ์จากเนื้อสัตว์  50 แห่ง</t>
  </si>
  <si>
    <t xml:space="preserve"> 3.2.8 การตรวจสอบเฝ้าระวังการแสดงฉลากอาหาร </t>
  </si>
  <si>
    <t>ร้านจำหน่าย จำนวน 25 อำเภอ</t>
  </si>
  <si>
    <t xml:space="preserve"> 3.2.9 ตรวจสอบฉลากผักผลไม้สด</t>
  </si>
  <si>
    <t>สถานที่ผลิต/จำหน่าย</t>
  </si>
  <si>
    <t>4. ตรวจสอบเฝ้าระวังและพัฒนาคุณภาพผลิตภัณฑ์อาหาร</t>
  </si>
  <si>
    <t>4.1 เก็บตัวอย่างนมโรงเรียน</t>
  </si>
  <si>
    <t>2. นมโรงเรียน</t>
  </si>
  <si>
    <t xml:space="preserve">สถานที่ผลิตนมโรงเรียน จำนวน 3 แห่ง (27 ตัวอย่าง) </t>
  </si>
  <si>
    <t>ค่าตรวจวิเคราะห์จาก
ผู้ประกอบการ</t>
  </si>
  <si>
    <t>4.2 การเก็บตัวอย่างอาหารกรณีพบปัญหาไม่ปลอดภัย/ร้องเรียน</t>
  </si>
  <si>
    <t>เฝ้าระวังความปลอดภัยผลิตภัณฑ์อาหารให้เกิดความปลอดภัยต่อการบริโภค</t>
  </si>
  <si>
    <t>ผลิตภัณฑ์อาหารที่พบปัญหาอาจเกิดความไม่ปลอดภัย/ร้องเรียน</t>
  </si>
  <si>
    <t>ค่าตรวจวิเคราะห์</t>
  </si>
  <si>
    <t>ม44</t>
  </si>
  <si>
    <t>4.3 การเก็บตัวอย่างผลิตภัณฑ์เศรษฐกิจฐานราก</t>
  </si>
  <si>
    <t>พัฒนาคุณภาพเศรษฐกิจฐานราก</t>
  </si>
  <si>
    <t>ผลิตภัณฑ์เศรษฐกิจฐานราก</t>
  </si>
  <si>
    <t>5. พัฒนาศักยภาพเจ้าหน้าที่ภาคีเครือข่าย</t>
  </si>
  <si>
    <t xml:space="preserve"> 5.1 อบรมเชิงปฏิบัติการทีมเครือข่ายพหุภาคีระดับจังหวัดและระดับอำเภอ</t>
  </si>
  <si>
    <t>ทีมเครือข่ายพหุภาคีระดับจังหวัดและระดับอำเภอมีความรู้ ความเข้าใจ ในการพัฒนาสถานที่และผลิตภัณฑ์สุขภาพชุมชนด้านอาหาร</t>
  </si>
  <si>
    <t>เจ้าหน้าที่สำนักงานพัฒนาชุมชนอำเภอ/สำนักงานเกษตรอำเภอ/สำนักงานสาธารณสุขอำเภอ 60 คน</t>
  </si>
  <si>
    <t>ค่าอาหาร อาหารว่างและเครื่องดื่ม60 คนx120 บาทx1ครั้ง</t>
  </si>
  <si>
    <t>ค่าตอบแทน อัตรา 600บาท/คน/ชั่วโมงx1คนx6ชั่วโมง        -ค่าเดินทางวิทยากร 5,000 บาท</t>
  </si>
  <si>
    <t xml:space="preserve"> 5.3 ประชุมเชิงปฏิบัติการเครือข่ายเฝ้าระวังอาหารช่วงเทศกาลสำคัญ ได้แก่  ปีใหม่ สงกรานต์ แห่เทียน </t>
  </si>
  <si>
    <t>เครือข่ายที่เกี่ยวข้องมีแนวทางและมีการเฝ้าระวังอาหารในช่วงเทศกาลสำคัญ</t>
  </si>
  <si>
    <t>เครือข่ายเฝ้าระวังอาหารช่วงเทศกาลสำคัญ ได้แก่ ปีใหม่ สงกรานต์ แห่เทียน จำนวน 25 คน</t>
  </si>
  <si>
    <t>ค่าอาหาร อาหารว่างและเครื่องดื่ม25คนx120บาทx3ครั้ง</t>
  </si>
  <si>
    <t>5.4 อบรมเชิงปฏิบัติการเครือข่ายจิตอาสาเฝ้าระวังความปลอดภัยอาหาร</t>
  </si>
  <si>
    <t>เพื่อพัฒนาเครือข่ายจิตอาสาให้มีความรู้ ความเข้าใจในการเฝ้าระวังความปลอดภัยอาหาร</t>
  </si>
  <si>
    <t xml:space="preserve">เครือข่ายจิตอาสาเฝ้าระวังความปลอดภัยอาหาร จำนวน 50 คน </t>
  </si>
  <si>
    <t>ค่าอาหาร อาหารว่างและเครื่องดื่ม 50คนx120บาทx1ครั้ง</t>
  </si>
  <si>
    <t>5.5 ประชุมเชิงปฏิบัติการเครือข่ายโรงพยาบาลอาหารปลอดภัย</t>
  </si>
  <si>
    <t>เจ้าหน้าที่ เครือข่ายผู้เกี่ยวข้องมีความรู้ ความเข้าใจ ในการดำเนินงานตามแนวทางโรงพยาบาลอาหารปลอดภัย</t>
  </si>
  <si>
    <t>เจ้าหน้าที่สำนักงานเกษตรอำเภอ/เจ้าหน้าที่โรงพยาบาล ได้แก่ โภชนากร เภสัชกร เจ้าหน้าที่ฝ่ายพัสดุ/เครือข่ายเกษตรกร 150 คน</t>
  </si>
  <si>
    <t>ค่าอาหาร อาหารว่างและเครื่องดื่ม150 คน x 120 บาท x 1 ครั้ง</t>
  </si>
  <si>
    <t>6. งานสุขศึกษาประชาสัมพันธ์</t>
  </si>
  <si>
    <t>6.1 ประชุมเชิงปฏิบัติการข้อมูลอาหารปลอดภัยหน่วยงานในห่วงโซ่อาหาร Dashboard คณะกรรมการอาหารจังหวัดอุบลราชธานี</t>
  </si>
  <si>
    <t>เพื่อเป็นฐานข้อมูลในการดำเนินงานอาหารปลอดภัยของหน่วยงานห่วงโซ่อาหาร</t>
  </si>
  <si>
    <t xml:space="preserve">เจ้าหน้าที่ที่เกี่ยวข้องในการนำเข้าข้อมูลและรายงานใน Dashboard คณะกรรมการอาหารจังหวัดอุบลราชธานี จำนวน 30 คน </t>
  </si>
  <si>
    <t>ค่าอาหาร อาหารว่างและเครื่องดื่ม 30 คน X 120 บาท X 2 ครั้ง</t>
  </si>
  <si>
    <t>6.2 ประชุมเชิงปฏิบัติการและทำสื่อประชาสัมพันธ์การผลิตอาหารตามเกณฑ์ GMP  การเลือกซื้อ เลือกบริโภคอาหาร อย่างถูกต้อง เหมาะสม</t>
  </si>
  <si>
    <t>เพื่อให้ผู้ผลิต ความรู้ความเข้าใจ ในการผลิตอาหารตามเกณฑ์ GMP ผู้บริโภคเลือกซื้อและบริโภคอาหารที่ถูกต้อง เหมาะสม และมีการปรับพฤติกรรมการบริโภค</t>
  </si>
  <si>
    <t>นักเรียน นักศึกษา เจ้าหน้าที่ บุคลากรทางการศึกษา และผู้บริโภค 80 คน</t>
  </si>
  <si>
    <t>ค่าอาหาร อาหารว่างและเครื่องดื่ม 80 คน X 120 บาท X 1 ครั้ง</t>
  </si>
  <si>
    <t>ค่าบริการเวปไซต์</t>
  </si>
  <si>
    <t>โครงการคุ้มครองผู้บริโภคด้านสาธารณสุข จังหวัดอุบลราชธานี ปีงบประมาณ 2566</t>
  </si>
  <si>
    <t>การเฝ้าระวังความปลอดภัยด้านผลิตภัณฑ์ บริการ และโฆษณาด้านสุขภาพ ปีงบประมาณ 2566</t>
  </si>
  <si>
    <t>1. ประชุมคณะกรรมการ/คณะทำงาน</t>
  </si>
  <si>
    <t xml:space="preserve"> 1.1 ประชุมคณะอนุกรรมการกลั่นกรองการโฆษณาหรือประกาศเกี่ยวกับสถานพยาบาลระดับภูมิภาค</t>
  </si>
  <si>
    <t>เพื่อให้การโฆษณาหรือประกาศเกี่ยวกับสถานพยาบาล ถูกต้องตาม พรบ.สถานพยาบาล พ.ศ. 2541</t>
  </si>
  <si>
    <t>คณะอนุกรรมการกลั่นกรองการโฆษณาหรือประกาศเกี่ยวกับสถานพยาบาลระดับภูมิภาค</t>
  </si>
  <si>
    <t xml:space="preserve"> ค่าอาหารว่างและเครื่องดื่ม จำนวน 10 คน x 25 บาท x 6 ครั้ง</t>
  </si>
  <si>
    <t>คบส(กิตติยาพร)</t>
  </si>
  <si>
    <t xml:space="preserve"> ค่าเบี้ยประชุม 8 คน คนละ 1,000บาท จำนวน 6 ครั้ง </t>
  </si>
  <si>
    <t xml:space="preserve"> 1.2 ประชุมคณะทำงานตรวจสถานพยาบาลประจำปี 2565 และออกตรวจเยี่ยมสถานพยาบาล(โรงพยาบาลเอกชน จำนวน 6 แห่ง )</t>
  </si>
  <si>
    <t>คณะทำงานตรวจสถานพยาบาลประจำปี 2565 และออกตรวจเยี่ยมสถานพยาบาล</t>
  </si>
  <si>
    <t xml:space="preserve">ประชุม และออกตรวจค่าอาหารกลางวัน อาหารว่างและเครื่องดื่ม  65 คน X 300 บาท/คน </t>
  </si>
  <si>
    <t>ม.44(อย)</t>
  </si>
  <si>
    <t xml:space="preserve">1.3 ประชุมคณะกรรมการพิจารณาทางคดี สำนักงานสาธารณสุขจังหวัดอุบลราชธานี
</t>
  </si>
  <si>
    <t>คณะกรรมการพิจารณาทางคดี สำนักงานสาธารณสุขจังหวัดอุบลราชธานี</t>
  </si>
  <si>
    <t xml:space="preserve">ค่าอาหาร ค่าอาหารว่างและเครื่องดื่ม 15 คน x120บาท X 4 ครั้ง </t>
  </si>
  <si>
    <r>
      <t xml:space="preserve">2. </t>
    </r>
    <r>
      <rPr>
        <sz val="16"/>
        <color rgb="FFFF0000"/>
        <rFont val="TH SarabunPSK"/>
        <family val="2"/>
      </rPr>
      <t>พัฒนาศักยภาพผู้ประกอบการ เพื่อชี้แจงกม. และการหารือการจัดการปัญหาความเสี่ยงที่พบ</t>
    </r>
  </si>
  <si>
    <t>2.1 จัดประชุม/อบรมเพื่อพัฒนาศักยภาพผู้ประกอบการร้านขายยา/ผลิตยา (ขย.1)</t>
  </si>
  <si>
    <t>ผู้ประกอบการร้านขายยา/ผลิตยา (ขย.1)</t>
  </si>
  <si>
    <t xml:space="preserve"> -ค่าอาหารกลางวัน อาหารว่างและเครื่องดื่ม  100 คน x 300 บาท </t>
  </si>
  <si>
    <t>ค่าวิทยากร ค่าชั่วโมงบรรยาย 600 บาท  x2 คน  x 5ชั่วโมง เป็นเงิน 6,000 บาท ค่าเดินทาง 4,000 บาท</t>
  </si>
  <si>
    <t>2.2 จัดประชุม/อบรมเพื่อพัฒนาศักยภาพผู้ประกอบการร้านขายยา/ผลิตยา (ขย.2)</t>
  </si>
  <si>
    <t>ผู้ประกอบการร้านขายยา/ผลิตยา (ขย.2)</t>
  </si>
  <si>
    <t xml:space="preserve"> 2.3 การประชุมผู้ประกอบการธุรกิจเพื่อสุขภาพ รองรับ พรบ.สถานประกอบการเพื่อสุขภาพ พ.ศ.2561 </t>
  </si>
  <si>
    <t xml:space="preserve">ผู้ประกอบการธุรกิจเพื่อสุขภาพ รองรับ พรบ.สถานประกอบการเพื่อสุขภาพ พ.ศ.2561 </t>
  </si>
  <si>
    <t>ค่าอาหารกลางวัน อาหารว่างและเครื่องดื่ม  100 คน x120 บาท</t>
  </si>
  <si>
    <t>2.3 จัดการประชุมผู้รับอนุญาตประกอบกิจการและผู้ดำเนินการสถานพยาบาล เพื่อชี้แจงประกาศกรมสนับสนุนบริการสุขภาพ เรื่อง หลักเกณฑ์ วิธีการ เงื่อนไข และค่าใช้จ่าย ในการโฆษณาเกี่ยวกับสถานพยาบาล</t>
  </si>
  <si>
    <t>ผู้รับอนุญาตประกอบกิจการและผู้ดำเนินการสถานพยาบาล</t>
  </si>
  <si>
    <t xml:space="preserve">ค่าอาหารกลางวัน อาหารว่างและเครื่องดื่ม 100 คน x 120 บาท </t>
  </si>
  <si>
    <t xml:space="preserve">2.4 จัดประชุม/อบรมผู้ประกอบการผลิต/จำหน่ายเครื่องสำอาง </t>
  </si>
  <si>
    <t xml:space="preserve">ผู้ประกอบการผลิต/จำหน่ายเครื่องสำอาง </t>
  </si>
  <si>
    <t>ค่าอาหาร อาหารว่างและเครื่องดื่ม 100 คน x 120 บาท</t>
  </si>
  <si>
    <t>3. พัฒนาศักยภาพเครือข่ายงานคุ้มครองผู้บริโภค</t>
  </si>
  <si>
    <t>3.1 จัดอบรมวิชาการสำหรับเภสัชกร จังหวัดอุบลราชธานี</t>
  </si>
  <si>
    <t>เภสัชกร จังหวัดอุบลราชธานี</t>
  </si>
  <si>
    <t>ค่าวิทยากร ค่าชั่วโมงบรรยาย 600 บาท  x2 คน  x 3ชั่วโมง เป็นเงิน 3,600 บาท ค่าเดินทาง 1,400 บาท</t>
  </si>
  <si>
    <t xml:space="preserve">  3.2ออกสัญจรเพื่ออบรมเชิงปฏิบัติการด้านการดำเนินกิจกรรม โครงการ บวร ร ที่เป็นกลุ่มเป้าหมาย และเจ้าหน้าที่ระดับอำเภอ</t>
  </si>
  <si>
    <t>2.เสริมสร้าง และพัฒนาเครือข่ายในการทำงาน คบส.</t>
  </si>
  <si>
    <t xml:space="preserve">เครือข่ายการทำงาน คบส. ระดับพื้นที่ </t>
  </si>
  <si>
    <t>ค่าอาหาร อาหารว่างและเครื่องดื่ม 50 คน x 120 บาท x 15 ครั้ง</t>
  </si>
  <si>
    <t xml:space="preserve"> 3.3 จัดอบรมพัฒนาศักยภาพเครือข่ายเฝ้าระวังโฆษณาด้านผลิตภัณฑ์และบริการสุขภาพและผู้ประกอบการสถานีวิทยุ</t>
  </si>
  <si>
    <t>ผู้ประกอบการสถานีวิทยุ</t>
  </si>
  <si>
    <t xml:space="preserve"> -ค่าอาหารกลางวัน อาหารว่างและเครื่องดื่ม  50 คน x120 บาท </t>
  </si>
  <si>
    <t>คบส(พรรณธิดา)</t>
  </si>
  <si>
    <t>3.4  อบรมเชิงปฏิบัติการองค์กรคุ้มครองผู้บริโภค จังหวัดอุบลราชธานี</t>
  </si>
  <si>
    <t>เพื่อพัฒนาศักยภาพองค์กรคุ้มครองผู้บริโภคในจังหวัดอุบลราชธานี ในการขับเคลื่อนงานคุ้มครองผู้บริโภค ร่วมกับเจ้าหน้าที่ และเครือข่าย</t>
  </si>
  <si>
    <t>องค์กรคุ้มครองผู้บริโภค จังหวัดอุบลราชธานี</t>
  </si>
  <si>
    <t>ค่าอาหารกลางวัน อาหารว่างและเครื่องดื่ม 50 คน x 120 บาท x 2 ครั้ง</t>
  </si>
  <si>
    <t xml:space="preserve">3.5 ประชุมสรุปผลงานองค์กรคุ้มครองผู้บริโภค จังหวัดอุบลราชธานี </t>
  </si>
  <si>
    <t xml:space="preserve"> 3.6 จัดกิจกรรมสัปดาห์เภสัชกรรม </t>
  </si>
  <si>
    <t xml:space="preserve">เภสัชกร และประชาชน </t>
  </si>
  <si>
    <t xml:space="preserve">ค่าอาหารกลางวัน อาหารว่างและเครื่องดื่ม 150 คน x 120 บาท </t>
  </si>
  <si>
    <t>3.7 พัฒนาศักยภาพและสร้างความเข้มแข็งให้เครือข่ายในการคุ้มครองผู้บริโภคด้านผลิตภัณฑ์สุขภาพในพื้นที่โดยการสร้างความรอบรู้ ให้แก่ เครือข่ายองค์กรปกครองส่วนท้องถิ่น (อปท.)</t>
  </si>
  <si>
    <t>เครือข่ายองค์กรปกครองส่วนท้องถิ่น (อปท.)</t>
  </si>
  <si>
    <t xml:space="preserve"> -ค่าอาหารกลางวัน อาหารว่างและเครื่องดื่ม  100 คน x 120 บาท </t>
  </si>
  <si>
    <t xml:space="preserve">3.8 จัดเวทีมหกรรมแลกเปลี่ยนเรียนรู้ อย.น้อย, บวร ร. ร่วมกับ อปท. </t>
  </si>
  <si>
    <t xml:space="preserve">อย.น้อย, บวร ร.และ อปท. </t>
  </si>
  <si>
    <t xml:space="preserve"> -ค่าอาหารกลางวัน อาหารว่างและเครื่องดื่ม  200 คน x300 บาท</t>
  </si>
  <si>
    <t>ม.44 (อย)</t>
  </si>
  <si>
    <t xml:space="preserve"> ค่าวิทยากรบรรยาย   ค่าชั่วโมงบรรยาย 600 บาท  x4 คน  x 6ชั่วโมง เป็นเงิน 14,400 บาท</t>
  </si>
  <si>
    <t>ค่าเดินทางวิทยากร ค่าที่พัก</t>
  </si>
  <si>
    <t>ค่าสื่อประชาสัมพันธ์</t>
  </si>
  <si>
    <t>3.9 สร้างความรอบรผู้ให้โรงเรียน อย.น้อย / อย.น้อยพลัส และเครือข่าย บวร ร</t>
  </si>
  <si>
    <t>\</t>
  </si>
  <si>
    <t xml:space="preserve"> -ค่าอาหารกลางวัน อาหารว่างและเครื่องดื่ม  100 คน x120 บาท</t>
  </si>
  <si>
    <t>คบส(กิฐฐา)</t>
  </si>
  <si>
    <t>4. พัฒนาศักยภาพเจ้าหน้าที่</t>
  </si>
  <si>
    <t xml:space="preserve"> 4.1 ประชุมเจ้าหน้าที่รับผิดชอบงานคุ้มครองผู้บริโภคระดับ อำเภอ/จังหวัด</t>
  </si>
  <si>
    <t xml:space="preserve"> -ค่าอาหารกลางวัน อาหารว่างและเครื่องดื่ม  60 คน x 120 บาท x 2 ครั้ง</t>
  </si>
  <si>
    <t>4.2 การส่งเสริมและพัฒนาศักยภาพเจ้าหน้าที่ระดับอำเภอ และจังหวัดให้มีความเชี่ยวชาญด้านงานคุ้มครองผู้บริโภคจาก อย.เจ้าหน้าที่ตำรวจ กองบังคับการปราบปรามการกระทำความผิดเกี่ยวกับการคุ้มครองผู้บริโภค(บก.ปคบ.</t>
  </si>
  <si>
    <t>1) เพื่อพัฒนาระบบ Safety Alert ของจังหวัด</t>
  </si>
  <si>
    <t>เครือข่ายทีม RRT ระดับอำเภอ/จังหวัด</t>
  </si>
  <si>
    <t xml:space="preserve"> -ค่าอาหารกลางวัน อาหารว่างและเครื่องดื่ม 70 คน x 120 บาท  x 2 วัน</t>
  </si>
  <si>
    <t xml:space="preserve">ม.44 </t>
  </si>
  <si>
    <t>2) เพื่อหาแนวทางมาตรการจัดการปัญหาผลิตภัณฑ์สุขภาพ บริการสุขภาพ และโฆษณาด้านสุขภาพ ในภาพรวมจังหวัด</t>
  </si>
  <si>
    <t xml:space="preserve">ค่าวิทยากรบรรยาย  ค่าชั่วโมงบรรยาย 600 บาท  x3คน  x 6ชั่วโมง เป็นเงิน 10,800 บาท </t>
  </si>
  <si>
    <t>ค่าเดินทางวิทยากร และค่าที่พัก</t>
  </si>
  <si>
    <t xml:space="preserve">5.ตรวจและประเมินสถานที่ผลิต นำเข้า จำหน่าย ผลิตภัณฑ์สุขภาพ ตามเกณฑ์ที่กำหนด  </t>
  </si>
  <si>
    <t>ค่าเบี้ยเลี้ยง ค่าเดินทาง ค่าล่วงเวลา  และค่าใช้จ่ายด้านพาหนะ ได้แก่ ค่าน้ำมันเชื้อเพลิง กรณีใช้รถยนต์ส่วนตัวไปราชการต่างจังหวัด</t>
  </si>
  <si>
    <t>โครงการพัฒนาระบบมาตรฐานความปลอดภัยด้านยา และการคุ้มครองผู้บริโภค
 สู่จังหวัดการใช้ยาสมเหตุผล จังหวัดอุบลราชธานี</t>
  </si>
  <si>
    <t xml:space="preserve">กิจกรรมขับเคลื่อนพัฒนาระบบบริหารจัดการ ระบบมาตรฐานความปลอดภัยด้านยา และเวชภัณฑ์ที่ไม่ใช่ยา </t>
  </si>
  <si>
    <t>6.1.1 คณะกรรมการ PTC จังหวัด รายไตรมาส</t>
  </si>
  <si>
    <t>เพื่อขับเคลื่อนให้สถานบริการสุขภาพทุกแห่งในจังหวัดอุบลราธานีเกิดมาตรฐานความปลอดภัยด้านยาให้เป็นไปในแนวทางเดียวกันและผู้ป่วยได้รับความปลอดภัยด้านยา</t>
  </si>
  <si>
    <t xml:space="preserve"> แพทย์ ทันตแพทย์ เภสัชกร พยาบาล และเจ้าหน้าที่อื่นๆ ที่เกี่ยวข้อง จำนวน 35 คน</t>
  </si>
  <si>
    <t xml:space="preserve">
-ค่าอาหารว่างและเครื่องดื่ม (บ่าย) 35คนx25 บาทx3 ครั้ง
</t>
  </si>
  <si>
    <t>วิชชุดา</t>
  </si>
  <si>
    <t xml:space="preserve">6.1.2 คณะกรรมการพัฒนามาตรฐานความปลอดภัยด้านยา และคณะทำงานฯ บริหารเวชภัณฑ์/ปฐมภูมิ /การพัฒนาบคลากรเภสัชกรรม/พัฒนาหน่วยบริการปฐมภูมิ :ร้านยาคุณภาพ
</t>
  </si>
  <si>
    <t xml:space="preserve">เพื่อขับเคลื่อนขับเคลื่อนให้ระบบบริหารด้านเวชภัณฑ์ให้มีประสิทธิภาพ สมเหตุผล มีจริยธรรม และโปร่งใสตรวจสอบได้ </t>
  </si>
  <si>
    <t xml:space="preserve">  เภสัชกร และเจ้าหน้าที่อื่นๆ ที่เกี่ยวข้องจำนวน  30 คน</t>
  </si>
  <si>
    <t>ประชุม 6 ครั้ง
ประชุมออนไลน์ 3 ครั้ง ประชุมที่สำนักงาน สสจ. 3 ครั้ง</t>
  </si>
  <si>
    <t>รัญณชา</t>
  </si>
  <si>
    <t>ค่าอาหารกลางวัน 30คนx70บาทx3ครั้ง</t>
  </si>
  <si>
    <t>ค่าอาหารว่างและเครื่องดื่ม 30คนx25บาทx2 มื้อx3 ครั้ง</t>
  </si>
  <si>
    <t xml:space="preserve">6.1.3  คณะทำงานบริหารจัดการด้านวัสดุวิทยาศาสตร์การแพทย์หรือหัวหน้าเทคนิกการแพทย์
</t>
  </si>
  <si>
    <t>เพื่อขับเคลื่อนให้ระบบบริหารจัดการด้านยาและเวชภัณฑ์ที่มิใช่ยามีประสิทธิภาพ ประหยัด สมเหตุผล มีจรืยธรรม และโปร่งใสตรวจสอบได้</t>
  </si>
  <si>
    <t>แพทย์  เภสัชกร เทคนิค การแพทย์ และเจ้าหน้าที่อื่นๆ ที่เกี่ยวข้อง 30 คน</t>
  </si>
  <si>
    <t xml:space="preserve">ประชุม 6 ครั้ง ประชุมออนไลน์ 3 ครั้ง ประชุมที่สำนักงาน สสจ. 3 ครั้ง
</t>
  </si>
  <si>
    <t>วิรัตน์</t>
  </si>
  <si>
    <t>ค่าอาหารกลางวัน 30 คนx70 บาท x 3 ครั้ง</t>
  </si>
  <si>
    <t xml:space="preserve">6.1.4 คณะทำงานบริหารจัดการด้านวัสดุการแพทย์ 
</t>
  </si>
  <si>
    <t>เพื่อขับเคลื่อนให้ระบบบริหารด้านวัสดุการแพทย์มีประสิทธิภาพ ประหยัด สมเหตุผล มีจรืยธรรม และโปร่งใสตรวจสอบได้</t>
  </si>
  <si>
    <t xml:space="preserve"> แพทย์  เภสัชกร พยาบาล และเจ้าหน้าที่อื่นๆ ที่เกี่ยวข้อง จำนวน 25 คน</t>
  </si>
  <si>
    <t xml:space="preserve">
-ค่าอาหารว่างและเครื่องดื่ม (เช้า-บ่าย) 25คนx25บาทx2มื้อx2ครั้ง
</t>
  </si>
  <si>
    <t>ค่าอาหารกลางวัน 25คนx70 บาทX2ครั้ง</t>
  </si>
  <si>
    <t>6.1.5 คณะทำงานบริหารจัดการ ด้านยา จังหวัดอุบลราชธานี</t>
  </si>
  <si>
    <t>เพื่อขับเคลื่อนให้ระบบบริหารจัดการด้านยาให้ประสิทธิภาพ ประหยัด สมเหตุผล มีจรืยธรรม และโปร่งใสตรวจสอบได้</t>
  </si>
  <si>
    <t>6.1.5.1
-ประชุมคณะทำงาน อำนวยการบริหารจัดการด้านยา</t>
  </si>
  <si>
    <t>เภสัชกร และเจ้าหน้าที่อื่นๆ ที่เกี่ยวข้องจำนวน 10 คน</t>
  </si>
  <si>
    <t xml:space="preserve">
-ค่าอาหารว่างและเครื่องดื่ม (เช้า-บ่าย) 10คนx25บาทx2มื้อx3 ครั้ง
</t>
  </si>
  <si>
    <t>ค่าอาหารกลางวัน 10คนx70บาทx3ครั้ง</t>
  </si>
  <si>
    <t xml:space="preserve">1.1.5.2
-ประชุมทำงานบริหารด้านยารายโซน </t>
  </si>
  <si>
    <t>เภสัชกร และเจ้าหน้าที่อื่นๆ ที่เกี่ยวข้องจำนวน 40 คน</t>
  </si>
  <si>
    <t xml:space="preserve">
-ค่าอาหารว่างและเครื่องดื่ม (เช้า-บ่าย) 40คนx25บาทx 2มื้อx3 ครั้ง
</t>
  </si>
  <si>
    <t>วิชชุดา/รัญณชา/วิรัตน์/ภาวินี</t>
  </si>
  <si>
    <t>ค่าอาหารกลางวัน 40คน x70บาทx3ครั้ง</t>
  </si>
  <si>
    <t>6.1.6 ประชุมการจัดทำกรอบบัญชีรายการยาและเวชภัณฑ์ที่มิใช่ยา จังหวัดอุบลราชธานี</t>
  </si>
  <si>
    <t>เพื่อปรับปรุงบัญชีรายการยาและเวชภัณฑ์ที่มิใช่ยา จังหวัดอุบลราชธานีให้ทันสมัยอยู่เสมอและเพื่อใช้เป็นแนวทางในการจัดทำกรอบบัญชีรายการยาและเวชภัณฑ์ที่มิใช่ยา โรงพยาบาล</t>
  </si>
  <si>
    <t xml:space="preserve"> แพทย์ ทันตแพทย์ เภสัชกร เทคนิคการแพทย์ พยาบาล และเจ้าหน้าที่อื่นๆ ที่เกี่ยวข้อง จำนวน 30 คน</t>
  </si>
  <si>
    <t xml:space="preserve">
-ค่าอาหารว่างและเครื่องดื่ม (เช้า-บ่าย) 30คน x25บาทx2มื้อx2 ครั้ง
</t>
  </si>
  <si>
    <t>ค่าอาหารกลางวัน 30คน x70บาทx2 ครั้ง</t>
  </si>
  <si>
    <t xml:space="preserve">6.1.7 ประชุมหัวหน้ากลุ่มงานเภสัชกรรม
</t>
  </si>
  <si>
    <t xml:space="preserve">ขับเคลื่อนพัฒนาระบบยาในเครือข่าย จังหวัดอุบลราชธานีเข้าสู่จังหวัดการใช้ยาอย่างสมเหตุผล </t>
  </si>
  <si>
    <t>เภสัชกร และเจ้าหน้าที่อื่นๆ ที่เกี่ยวข้องจำนวน 30 คน</t>
  </si>
  <si>
    <t xml:space="preserve">
-ค่าอาหารว่างและเครื่องดื่ม (เช้า-บ่าย) 30คนx25บาทx2มื้อX2 ครั้ง
</t>
  </si>
  <si>
    <t>วิชชุดา/รัญณชา</t>
  </si>
  <si>
    <t>ค่าอาหารกลางวัน 30คนx70บาทX2ครั้ง</t>
  </si>
  <si>
    <t>กิจกรรมการพัฒนาความปลอดภัยด้านยา
ในเครือข่ายบริการปฐมภูมิ</t>
  </si>
  <si>
    <t xml:space="preserve"> อย= 12,000 // ม.44 =15,400</t>
  </si>
  <si>
    <t>6.2 .1 การพัฒนาระบบความปลอดภัยด้านยา เพื่อการขับเคลื่อนความปลอดภัยด้านยาในหน่วยบริการปฐมภูมิ</t>
  </si>
  <si>
    <t>เภสัชกร และเจ้าหน้าที่อื่นๆ ที่เกี่ยวข้องจำนวน 20 คน</t>
  </si>
  <si>
    <t xml:space="preserve">
-ค่าอาหารว่างและเครื่องดื่ม (เช้า-บ่าย) 20คนx25บาทx2มื้อ
</t>
  </si>
  <si>
    <t>รัญณชา/ภาวิณี</t>
  </si>
  <si>
    <t>ค่าอาหารกลางวัน 2คนx70บาท</t>
  </si>
  <si>
    <t>6.2.2 การพัฒนาศักยภาพเจ้าหน้าที่สาธารณสุขในการใช้โปรแกรมตาไว ในโรงพยาบาลและรพ.สต เพื่อเฝ้าระวังผลิตภัณฑ์สุขภาพ ในโรงพยาบาลและ รพ.สต.</t>
  </si>
  <si>
    <t xml:space="preserve"> พัฒนาศักยภาพให้เจ้าหน้าที่สาธารณสุขทุกระดับสามารถใช้โปรแกรมการเฝ้าระวังผลิตภัณฑสุขภาพ(โปรแกรมตาไว)</t>
  </si>
  <si>
    <t>เภสัชกร และเจ้าหน้าที่อื่นๆที่เกี่ยวข้องจำนวน 30 คน</t>
  </si>
  <si>
    <t xml:space="preserve">
-ค่าอาหารว่างและเครื่องดื่ม (เช้า-บ่าย) 30คนx25บาทx2มื้อ
</t>
  </si>
  <si>
    <t>ค่าอาหารกลางวัน 30คนx70บาท</t>
  </si>
  <si>
    <t>ค่าตอบแทนวิทยากร  3 คนx2 ชม</t>
  </si>
  <si>
    <t>6.2.3 เยี่ยม ติดตามเสริมพลังบูรณาการด้านเภสัชกรรมและการคุ้มครองผู้บริโภคในโรงพยาบาลและเครือข่ายฯในอำเภอต่างๆ โซนละ 2 อำเภอ</t>
  </si>
  <si>
    <t xml:space="preserve"> เพื่อติดตามผลการดำเนินงานมาตรฐานความปลอดภัยด้านยา  RDU งานคุ้มครองผู้บริโภค รพ.สต.ติดดาวด้านเภสัชกรรมและการคั้มครองผู้บริโภคในโรงพยาบาล และเครือข่ายในโรงพยาบาลและเครือข่ายมาตรฐานความปลอดภัยด้านยา และ</t>
  </si>
  <si>
    <t>เยี่ยมเสริมพลัง รายโซน โซนละ 2 อำเภอ เป้าหมายเภสัชกร และเจ้าหน้าที่อื่นๆที่เกี่ยวข้อง จำนวน 25 คน</t>
  </si>
  <si>
    <t>เบี้ยเลี้ยง 7คนx120x8วัน (งานระบบยา 3 คน งานPost 1 คน หน.คบส 1 รองคัมภีร์ 1  และ พขร.1)</t>
  </si>
  <si>
    <t>ค่าใบประกาศนียบัตร พร้อมกรอบอำเภอละ 2 แห่ง = 2x26=แห่งX 20 บาท</t>
  </si>
  <si>
    <t>6.2.4 การส่งเสริมความปลอดภัยด้านยาในร้านชำ   ผนวกรวมกับการประชุมผู้รับผิดชอบงาน คบส.</t>
  </si>
  <si>
    <t xml:space="preserve"> พัฒนาศักยภาพให้เจ้าหน้าที่สาธารณสุข สามารถประยุคต์ใช้IT(โปรแกรมหอมแดง)ในการดำเนินงานเฝ้าระวังความปลอดภัยด้านยาในร้านชำ</t>
  </si>
  <si>
    <t>เภสัชกร และเจ้าหน้าที่อื่นๆที่เกี่ยวข้องจำนวน 60 คน</t>
  </si>
  <si>
    <t xml:space="preserve">ใช้งบประมาณกับงานตรวจเฝ้าระวังและตรวจจับทำคดี
</t>
  </si>
  <si>
    <t xml:space="preserve">
ภาวิณี/วิชชุดา/
วิรัตน์</t>
  </si>
  <si>
    <t>ใช้งบประมาณกับงานตรวจเฝ้าระวังและตรวจจับทำคดี</t>
  </si>
  <si>
    <t>ค่าตอบแทนวิทยากร  2 คนx2 ชมx600 บาท</t>
  </si>
  <si>
    <t xml:space="preserve">    ประชุมคณะทำงานที่เกี่ยวข้องการพัฒนาและใช้ app ก่อนและหลัง การดำเนินการ</t>
  </si>
  <si>
    <t>ส่งเสริมการเรียนรู้การจัดการปัญหาความเสี่ยงด้านยาในชุมชุม</t>
  </si>
  <si>
    <t xml:space="preserve"> -ค่าอาหารว่างและเครื่องดื่ม  10 คน x25บาทx2มื้อ x2  ครั้ง</t>
  </si>
  <si>
    <t xml:space="preserve"> -ค่าอาหารกลางวัน  10 คน x 70 บาท x2 ครั้ง</t>
  </si>
  <si>
    <t>6.2.5  เยี่ยม ติดตามการประยุคต์ใช้ IT ในการพัฒนาร้านชำปลอดยาอันตราย และมอบใบประกาศนียบัตรร้านชำปลอดยาอันตราย</t>
  </si>
  <si>
    <t>งบประมาณใช้กับ ข้อ1.2.3</t>
  </si>
  <si>
    <t>ส่งเสริมการเรียนรู้การจัดการปัญหาความเสี่ยงด้านยาในชุมชน</t>
  </si>
  <si>
    <t>6.3.1  ประชุมเครือข่าย ที่เกี่ยวข้อง ก่อนและหลัง การดำเนินการ</t>
  </si>
  <si>
    <t xml:space="preserve"> -ค่าอาหารว่างและเครื่องดื่ม  15 คน x25บาทx2มื้อ x2 ครั้ง</t>
  </si>
  <si>
    <t xml:space="preserve"> -ค่าอาหารกลางวัน  15 คน x 70 บาท x2  ครั้ง</t>
  </si>
  <si>
    <t>6.3.2   ประชุมกลุ่มเป้าหมายเพื่อดำเนินการ</t>
  </si>
  <si>
    <t xml:space="preserve"> -ค่าอาหารว่างและเครื่องดื่ม(เช้า-บ่าย)30 คน x25บาทx2มื้อ </t>
  </si>
  <si>
    <t xml:space="preserve"> -ค่าอาหารกลางวัน 30 คน x 70บาท</t>
  </si>
  <si>
    <t xml:space="preserve"> กิจกรรมส่งเสริมจังหวัดใช้ยาสมเหตุผล จังหวัดอุบลราชธานี</t>
  </si>
  <si>
    <t xml:space="preserve">1.4.1  คณะกรรมการสาขาป้องกันและควบคุมการดื้อยาต้านจุลชีพและการใช้ยาอย่างสมเหตุผล (Service Plan RDU&amp;AMR)
</t>
  </si>
  <si>
    <t>เพื่อขับเคลื่อนให้สถานบริการสุขภาพทุกแห่งในจังหวัดอุบลราธานี มีการใช้ยาอย่างสมเหตุผล และเกิดมาตรฐานความปลอดภัยด้านยา</t>
  </si>
  <si>
    <t xml:space="preserve"> แพทย์  เภสัชกร และเจ้าหน้าที่อื่นๆ ที่เกี่ยวข้องจำนวน  28 คน</t>
  </si>
  <si>
    <t>่ประชุม 4 ครั้ง แบ่งเป็นประชุมออนไลน์ 2 ครั้ง ประชุมที่ สสจ. 2 ครั้ง</t>
  </si>
  <si>
    <t xml:space="preserve">อาหารและเครื่องดื่ม (เช้า-บ่าย) 28คนx25บาทx2มื้อx2ครั้ง  </t>
  </si>
  <si>
    <t>ค่าอาหารกลางวัน 28 คนx 70 บาทx 2 ครั้ง</t>
  </si>
  <si>
    <t xml:space="preserve">1.4.2 ประชุมติดตามและสรุปผล RDU สัญจร online
</t>
  </si>
  <si>
    <t>เพื่อติดตามและประเมินผลการดำเนินงาน RDU ในสถานบริการสุขภาพ เครือข่าย จังหวัดอุบลราชธานี</t>
  </si>
  <si>
    <t xml:space="preserve"> แพทย์  เภสัชกร และเจ้าหน้าที่อื่นๆ ที่เกี่ยวข้องจำนวน  10 คน</t>
  </si>
  <si>
    <t xml:space="preserve">
- ค่าอาหารว่างและเครื่องดื่ม (บ่าย)10คนx25บาทx4 ครั้ง</t>
  </si>
  <si>
    <t>วิชชุดา/ภาวิณี</t>
  </si>
  <si>
    <t xml:space="preserve"> กิจกรรมส่งเสริมการใช้ยาสมเหตุผลในร้านยา จังหวัดอุบลราชธานี</t>
  </si>
  <si>
    <t>1.5.1 ประชุมชี้แจงแนวทางการส่งเสริมใช้ยาสมเหตุผลในร้านยานำร่อง</t>
  </si>
  <si>
    <t>เพื่อชี้แจงเป้าหมายและแนวทางดำเนินงาน กิจกรรมส่งเสริมการใช้ยาสมเหตุผลในร้านยา</t>
  </si>
  <si>
    <t>เภสัชกรร้านยาและเจ้าหน้าที่ที่เกี่ยวข้อง 20 คน</t>
  </si>
  <si>
    <t>ค่าอาหารและเครื่องดื่ม (เช้า-บ่าย) 20คนx25บาทx2มื้อ</t>
  </si>
  <si>
    <t>ค่าอาหารกลางวัน 20 คนx 70 บาท</t>
  </si>
  <si>
    <t>1.5.2 ติดตามและสรุปผลการดำเนินงาน</t>
  </si>
  <si>
    <t>เพื่อกำกับติดตามงานตามกิจกรรมฯ</t>
  </si>
  <si>
    <t>เภสัชกรสสจ.อบ.
3 คน</t>
  </si>
  <si>
    <t>ค่าเบี้ยเลี้ยง</t>
  </si>
  <si>
    <t xml:space="preserve">โครงการขับเคลื่อนธรรมาภิบาลโดยการประเมินคุณธรรมและความโปร่งใส หน่วยงานภาครัฐในสังกัดสำนักงานสาธารณสุขจังหวัดอุบลราชธานี ประจำปี 2566         </t>
  </si>
  <si>
    <t>กลุ่มกฏหมาย</t>
  </si>
  <si>
    <t xml:space="preserve">ค่าวิทยากร ๑ คน*600*๕ชม. </t>
  </si>
  <si>
    <t>นายประเทือง คำภานันต์</t>
  </si>
  <si>
    <t>ค่าถ่ายเอกสารคู่มือ</t>
  </si>
  <si>
    <t>๑.เพื่อเพิ่มพูนทักษะผู้ปฏิบัติงานด้านประเมินคุณธรรมและความโปร่งใส  (ita)</t>
  </si>
  <si>
    <t xml:space="preserve">๑.เพื่อเพิ่มพูนทักษะผู้ปฏิบัติงานด้านไกล่เกลี่ย </t>
  </si>
  <si>
    <t>๒.ลดข้อร้องเรียน และยุติข้อพิพาท</t>
  </si>
  <si>
    <t>บุลากรผู้รับผิดชอบงานธรรมาภิบาล (รพ.สต./สสอ./รพศ/รพท/รพช/สสจ.อบ.) รวม  120 คน</t>
  </si>
  <si>
    <t>ค่าอาหารว่างและเครื่องดื่ม 120คน*50</t>
  </si>
  <si>
    <t>ค่าอาหาร120 คน*70</t>
  </si>
  <si>
    <t>บุลากรผู้รับผิดชอบงาน ITA (รพ.สต./สสอ./รพศ/รพท/รพช/สสจ.อบ.) รวม  120 คน</t>
  </si>
  <si>
    <t>1.เพื่อพัฒนาศักยภาพเจ้าหน้าที่ของรัฐในสังกัดฯ ในเรื่อง ผลประโยชน์ทับซ้อน การปรับMind set เพื่อป้องก้นผลประโยชน์ทับซ้อน 2.เพื่อพัฒนาศักยภาพเจ้าหน้าที่ของรัฐ ในเรื่องการป้องกันกระทำผิดวินัยแก่บุคลากรหน่วยงานในสังกัดสำนักงานสาธารณสุขจังหวัดอุบลราชธานี ประจำปี 2566</t>
  </si>
  <si>
    <t>บุลากรผู้รับผิดชอบงานเจรจาไกล่เกลี่ย(รพ.สต./สสอ./รพศ/รพท/รพช/สสจ.อบ.) รวม  120 คน</t>
  </si>
  <si>
    <t>ประชุมให้ความรู้เรื่องการป้องกันผลประโยชน์ทับซ้อนอันเกิดจากการปฏิบัติหน้าที่และการป้องกันกระทำผิดวินัยหน่วยงานในสังกัดสำนักงานสาธารณสุขจังหวัดอุบลราชธานี</t>
  </si>
  <si>
    <t xml:space="preserve"> โครงการประเมินคุณธรรม ความโปร่งใส</t>
  </si>
  <si>
    <t>อบรมความรู้ทักษะการเจรจาไกล่เกลี่ยโดยสันติวิธีและการจัดการเรื่องร้องเรียน</t>
  </si>
  <si>
    <t>ส่งแสริม</t>
  </si>
  <si>
    <t>ส่งเสริมฯ</t>
  </si>
  <si>
    <t>ส่งเสริม</t>
  </si>
  <si>
    <t>บค.</t>
  </si>
  <si>
    <t>บำรุง (บาท)</t>
  </si>
  <si>
    <t>,ม.44</t>
  </si>
  <si>
    <t>ทันตฯ</t>
  </si>
  <si>
    <t>ฐานิญา</t>
  </si>
  <si>
    <t>เงินบำรุง</t>
  </si>
  <si>
    <t>จังหวัด/กลุ่มจังหวัด/PPA</t>
  </si>
  <si>
    <t>จังหวัด/สสส/PPA</t>
  </si>
  <si>
    <t>ผลผลิตเฉพาะ/กรม/กอง (บาท)</t>
  </si>
  <si>
    <t>แหล่งที่มา</t>
  </si>
  <si>
    <t xml:space="preserve">บำรุง(ต่างหน่วย) </t>
  </si>
  <si>
    <t>TICA/ต่างหน่วย รพ.</t>
  </si>
  <si>
    <t xml:space="preserve">โครงการจิตอาสารณรงค์รักษาความสะอาดและสิ่งแวดล้อม   </t>
  </si>
  <si>
    <t xml:space="preserve">ประชุมการจัดทำข้อมูลงานอนามัยแม่และเด็ก HDC กับ ก.2 ให้มีคุณภาพ ถูกต้อง </t>
  </si>
  <si>
    <t>โครงการประเมินโรงเรียนส่งเสริมสุขภาพระดับเพชร จังหวัดอุบลราชธานี ปี 2566</t>
  </si>
  <si>
    <t>อนุมัติแผนปฏิบัติราชการ ประจำปี 2566</t>
  </si>
  <si>
    <t xml:space="preserve">การเฝ้าระวังความปลอดภัยด้านผลิตภัณฑ์ บริการ และโฆษณาด้านสุขภาพ </t>
  </si>
  <si>
    <t xml:space="preserve">โครงการประชุมวิชาการ เพิ่มประสิทธิภาพในการ ดูแลผู้ป่วยวิกฤต จังหวัดอุบลราชธานี ( case conference ) </t>
  </si>
  <si>
    <t xml:space="preserve">โครงการ ประชุมผู้รับผิดชอบงานการแพทย์ฉุกเฉิน จังหวัดอุบลราชธานี </t>
  </si>
  <si>
    <t xml:space="preserve">โครงการประชุมวิชาการ การดูแลผู้บาดเจ็บก่อนถึงโรงพยาบาล </t>
  </si>
  <si>
    <t>นายแพทย์เชี่ยวชาญ (ด้านเวชกรรมป้องกัน)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</si>
</sst>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87" formatCode="\ @"/>
    <numFmt numFmtId="188" formatCode="_-* #,##0_-;\-* #,##0_-;_-* &quot;-&quot;??_-;_-@_-"/>
    <numFmt numFmtId="189" formatCode="_(* #,##0.00_);_(* \(#,##0.00\);_(* &quot;-&quot;??_);_(@_)"/>
    <numFmt numFmtId="190" formatCode="#,##0_ ;\-#,##0\ "/>
    <numFmt numFmtId="191" formatCode="_-* #,##0.0_-;\-* #,##0.0_-;_-* &quot;-&quot;??_-;_-@_-"/>
    <numFmt numFmtId="192" formatCode="#,##0.00_ ;\-#,##0.00\ "/>
    <numFmt numFmtId="193" formatCode="_-* #,##0_-;\-* #,##0_-;_-* &quot;-&quot;??_-;_-@"/>
    <numFmt numFmtId="194" formatCode="_(* #,##0_);_(* \(#,##0\);_(* &quot;-&quot;??_);_(@_)"/>
  </numFmts>
  <fonts count="164">
    <font>
      <sz val="11"/>
      <color theme="1"/>
      <name val="Tahoma"/>
      <family val="2"/>
      <charset val="222"/>
      <scheme val="minor"/>
    </font>
    <font>
      <sz val="11"/>
      <color theme="1"/>
      <name val="Tahoma"/>
      <family val="2"/>
      <charset val="222"/>
      <scheme val="minor"/>
    </font>
    <font>
      <sz val="14"/>
      <color theme="1"/>
      <name val="TH SarabunPSK"/>
      <family val="2"/>
    </font>
    <font>
      <b/>
      <sz val="14"/>
      <name val="TH SarabunPSK"/>
      <family val="2"/>
      <charset val="222"/>
    </font>
    <font>
      <b/>
      <sz val="11"/>
      <name val="TH SarabunPSK"/>
      <family val="2"/>
      <charset val="222"/>
    </font>
    <font>
      <b/>
      <sz val="12"/>
      <name val="TH SarabunPSK"/>
      <family val="2"/>
      <charset val="222"/>
    </font>
    <font>
      <sz val="14"/>
      <name val="TH SarabunPSK"/>
      <family val="2"/>
      <charset val="222"/>
    </font>
    <font>
      <b/>
      <sz val="14"/>
      <name val="TH SarabunPSK"/>
      <family val="2"/>
    </font>
    <font>
      <sz val="14"/>
      <name val="TH SarabunPSK"/>
      <family val="2"/>
    </font>
    <font>
      <u/>
      <sz val="14"/>
      <name val="TH SarabunPSK"/>
      <family val="2"/>
    </font>
    <font>
      <sz val="16"/>
      <color rgb="FF000000"/>
      <name val="Angsana New"/>
      <family val="1"/>
    </font>
    <font>
      <u/>
      <sz val="16"/>
      <color indexed="8"/>
      <name val="Angsana New"/>
      <family val="1"/>
    </font>
    <font>
      <sz val="16"/>
      <color indexed="8"/>
      <name val="Angsana New"/>
      <family val="1"/>
    </font>
    <font>
      <sz val="16"/>
      <color theme="1"/>
      <name val="Tahoma"/>
      <family val="2"/>
      <scheme val="minor"/>
    </font>
    <font>
      <sz val="16"/>
      <name val="Angsana New"/>
      <family val="1"/>
    </font>
    <font>
      <sz val="16"/>
      <color indexed="10"/>
      <name val="Angsana New"/>
      <family val="1"/>
    </font>
    <font>
      <sz val="16"/>
      <color theme="1"/>
      <name val="Calibri"/>
      <family val="2"/>
    </font>
    <font>
      <sz val="16"/>
      <color theme="1"/>
      <name val="Angsana New"/>
      <family val="1"/>
    </font>
    <font>
      <sz val="14"/>
      <color theme="1"/>
      <name val="Angsana New"/>
      <family val="1"/>
    </font>
    <font>
      <b/>
      <sz val="16"/>
      <color theme="1"/>
      <name val="TH SarabunPSK"/>
      <family val="2"/>
    </font>
    <font>
      <sz val="16"/>
      <color theme="1"/>
      <name val="TH SarabunPSK"/>
      <family val="2"/>
    </font>
    <font>
      <u/>
      <sz val="11"/>
      <color theme="10"/>
      <name val="Tahoma"/>
      <family val="2"/>
      <charset val="222"/>
    </font>
    <font>
      <u/>
      <sz val="16"/>
      <color theme="10"/>
      <name val="TH SarabunPSK"/>
      <family val="2"/>
    </font>
    <font>
      <b/>
      <sz val="9"/>
      <color indexed="81"/>
      <name val="Tahoma"/>
      <family val="2"/>
    </font>
    <font>
      <sz val="9"/>
      <color indexed="81"/>
      <name val="Tahoma"/>
      <family val="2"/>
    </font>
    <font>
      <sz val="10"/>
      <color theme="1"/>
      <name val="Tahoma"/>
      <family val="2"/>
    </font>
    <font>
      <sz val="10"/>
      <name val="Tahoma"/>
      <family val="2"/>
    </font>
    <font>
      <b/>
      <sz val="10"/>
      <name val="Tahoma"/>
      <family val="2"/>
    </font>
    <font>
      <b/>
      <sz val="10"/>
      <color theme="1"/>
      <name val="Tahoma"/>
      <family val="2"/>
    </font>
    <font>
      <sz val="14"/>
      <name val="Cordia New"/>
      <family val="2"/>
    </font>
    <font>
      <sz val="11"/>
      <color theme="1"/>
      <name val="Tahoma"/>
      <family val="2"/>
      <scheme val="minor"/>
    </font>
    <font>
      <sz val="11"/>
      <color indexed="8"/>
      <name val="Tahoma"/>
      <family val="2"/>
    </font>
    <font>
      <sz val="12"/>
      <color indexed="8"/>
      <name val="Verdana"/>
      <family val="2"/>
    </font>
    <font>
      <sz val="11"/>
      <color indexed="8"/>
      <name val="Tahoma"/>
      <family val="2"/>
      <charset val="222"/>
    </font>
    <font>
      <sz val="12"/>
      <color theme="1"/>
      <name val="Tahoma"/>
      <family val="2"/>
    </font>
    <font>
      <sz val="10"/>
      <color rgb="FF1F1F1F"/>
      <name val="Tahoma"/>
      <family val="2"/>
    </font>
    <font>
      <b/>
      <sz val="10"/>
      <color indexed="8"/>
      <name val="Tahoma"/>
      <family val="2"/>
    </font>
    <font>
      <sz val="10"/>
      <color rgb="FFFF0000"/>
      <name val="Tahoma"/>
      <family val="2"/>
    </font>
    <font>
      <sz val="12"/>
      <name val="Tahoma"/>
      <family val="2"/>
    </font>
    <font>
      <sz val="10"/>
      <color rgb="FF000000"/>
      <name val="Tahoma"/>
      <family val="2"/>
    </font>
    <font>
      <b/>
      <sz val="18"/>
      <color theme="1"/>
      <name val="TH SarabunPSK"/>
      <family val="2"/>
    </font>
    <font>
      <b/>
      <sz val="14"/>
      <color theme="1"/>
      <name val="TH SarabunPSK"/>
      <family val="2"/>
    </font>
    <font>
      <b/>
      <sz val="14"/>
      <color indexed="8"/>
      <name val="TH SarabunPSK"/>
      <family val="2"/>
    </font>
    <font>
      <sz val="12"/>
      <color theme="1"/>
      <name val="TH SarabunPSK"/>
      <family val="2"/>
    </font>
    <font>
      <sz val="10"/>
      <color rgb="FF1F1F1F"/>
      <name val="TH SarabunPSK"/>
      <family val="2"/>
    </font>
    <font>
      <sz val="11"/>
      <color theme="1"/>
      <name val="TH SarabunPSK"/>
      <family val="2"/>
    </font>
    <font>
      <sz val="10"/>
      <color theme="1"/>
      <name val="TH SarabunPSK"/>
      <family val="2"/>
    </font>
    <font>
      <sz val="10"/>
      <name val="TH SarabunPSK"/>
      <family val="2"/>
    </font>
    <font>
      <b/>
      <sz val="10"/>
      <name val="TH SarabunPSK"/>
      <family val="2"/>
    </font>
    <font>
      <b/>
      <sz val="12"/>
      <color theme="1"/>
      <name val="TH SarabunPSK"/>
      <family val="2"/>
    </font>
    <font>
      <sz val="12"/>
      <name val="TH SarabunPSK"/>
      <family val="2"/>
    </font>
    <font>
      <sz val="11"/>
      <name val="TH SarabunPSK"/>
      <family val="2"/>
    </font>
    <font>
      <sz val="9"/>
      <color theme="1"/>
      <name val="TH SarabunPSK"/>
      <family val="2"/>
    </font>
    <font>
      <sz val="9"/>
      <name val="TH SarabunPSK"/>
      <family val="2"/>
    </font>
    <font>
      <b/>
      <sz val="9"/>
      <name val="TH SarabunPSK"/>
      <family val="2"/>
    </font>
    <font>
      <sz val="12"/>
      <color rgb="FFFF0000"/>
      <name val="TH SarabunPSK"/>
      <family val="2"/>
    </font>
    <font>
      <sz val="11"/>
      <color rgb="FFFF0000"/>
      <name val="TH SarabunPSK"/>
      <family val="2"/>
    </font>
    <font>
      <b/>
      <sz val="11"/>
      <color theme="1"/>
      <name val="TH SarabunPSK"/>
      <family val="2"/>
    </font>
    <font>
      <b/>
      <sz val="9"/>
      <color theme="1"/>
      <name val="TH SarabunPSK"/>
      <family val="2"/>
    </font>
    <font>
      <b/>
      <sz val="10"/>
      <color theme="1"/>
      <name val="TH SarabunPSK"/>
      <family val="2"/>
    </font>
    <font>
      <sz val="10"/>
      <color theme="1"/>
      <name val="Tahoma"/>
      <family val="2"/>
      <charset val="222"/>
      <scheme val="minor"/>
    </font>
    <font>
      <b/>
      <sz val="12"/>
      <name val="TH SarabunPSK"/>
      <family val="2"/>
    </font>
    <font>
      <sz val="12"/>
      <color theme="1"/>
      <name val="Angsana New"/>
      <family val="1"/>
    </font>
    <font>
      <sz val="12"/>
      <name val="Angsana New"/>
      <family val="1"/>
    </font>
    <font>
      <sz val="14"/>
      <name val="Angsana New"/>
      <family val="1"/>
    </font>
    <font>
      <sz val="11"/>
      <color rgb="FF006100"/>
      <name val="Tahoma"/>
      <family val="2"/>
      <charset val="222"/>
      <scheme val="minor"/>
    </font>
    <font>
      <b/>
      <sz val="16"/>
      <color indexed="8"/>
      <name val="TH SarabunPSK"/>
      <family val="2"/>
    </font>
    <font>
      <b/>
      <sz val="16"/>
      <name val="TH SarabunPSK"/>
      <family val="2"/>
    </font>
    <font>
      <b/>
      <sz val="16"/>
      <color rgb="FFFF0000"/>
      <name val="TH SarabunPSK"/>
      <family val="2"/>
    </font>
    <font>
      <sz val="16"/>
      <name val="TH SarabunPSK"/>
      <family val="2"/>
    </font>
    <font>
      <sz val="8"/>
      <color theme="1"/>
      <name val="Tahoma"/>
      <family val="2"/>
    </font>
    <font>
      <sz val="8"/>
      <color indexed="8"/>
      <name val="Tahoma"/>
      <family val="2"/>
    </font>
    <font>
      <sz val="8"/>
      <name val="Tahoma"/>
      <family val="2"/>
    </font>
    <font>
      <sz val="8"/>
      <color rgb="FFFF0000"/>
      <name val="Tahoma"/>
      <family val="2"/>
    </font>
    <font>
      <sz val="8"/>
      <name val="Tahoma"/>
      <family val="2"/>
      <scheme val="major"/>
    </font>
    <font>
      <b/>
      <sz val="8"/>
      <name val="Tahoma"/>
      <family val="2"/>
      <scheme val="major"/>
    </font>
    <font>
      <sz val="8"/>
      <color theme="1"/>
      <name val="Tahoma"/>
      <family val="2"/>
      <scheme val="major"/>
    </font>
    <font>
      <sz val="8"/>
      <color theme="1"/>
      <name val="Tahoma"/>
      <family val="2"/>
      <scheme val="minor"/>
    </font>
    <font>
      <b/>
      <sz val="8"/>
      <color theme="1"/>
      <name val="Tahoma"/>
      <family val="2"/>
    </font>
    <font>
      <sz val="8"/>
      <color theme="1"/>
      <name val="TH SarabunIT๙"/>
      <family val="2"/>
    </font>
    <font>
      <b/>
      <sz val="8"/>
      <name val="Tahoma"/>
      <family val="2"/>
    </font>
    <font>
      <sz val="8"/>
      <color theme="1"/>
      <name val="Tahoma"/>
      <family val="2"/>
      <charset val="222"/>
    </font>
    <font>
      <sz val="8"/>
      <name val="Tahoma"/>
      <family val="2"/>
      <charset val="222"/>
    </font>
    <font>
      <sz val="8"/>
      <color theme="1"/>
      <name val="TH SarabunPSK"/>
      <family val="2"/>
      <charset val="222"/>
    </font>
    <font>
      <sz val="8"/>
      <color rgb="FFFF0000"/>
      <name val="Tahoma"/>
      <family val="2"/>
      <charset val="222"/>
    </font>
    <font>
      <sz val="8"/>
      <color rgb="FF000000"/>
      <name val="Tahoma"/>
      <family val="2"/>
    </font>
    <font>
      <u/>
      <sz val="8"/>
      <color theme="1"/>
      <name val="Tahoma"/>
      <family val="2"/>
      <charset val="222"/>
    </font>
    <font>
      <sz val="8"/>
      <color theme="1" tint="4.9989318521683403E-2"/>
      <name val="Tahoma"/>
      <family val="2"/>
      <charset val="222"/>
    </font>
    <font>
      <sz val="9"/>
      <color theme="1"/>
      <name val="Tahoma"/>
      <family val="2"/>
    </font>
    <font>
      <sz val="9"/>
      <color rgb="FFFF0000"/>
      <name val="Tahoma"/>
      <family val="2"/>
    </font>
    <font>
      <sz val="9"/>
      <name val="Tahoma"/>
      <family val="2"/>
    </font>
    <font>
      <sz val="8"/>
      <color rgb="FF0070C0"/>
      <name val="Tahoma"/>
      <family val="2"/>
    </font>
    <font>
      <b/>
      <sz val="9"/>
      <name val="TH Sarabun PSK"/>
    </font>
    <font>
      <sz val="9"/>
      <name val="TH Sarabun PSK"/>
    </font>
    <font>
      <b/>
      <sz val="11"/>
      <color theme="1"/>
      <name val="Tahoma"/>
      <family val="2"/>
    </font>
    <font>
      <b/>
      <sz val="11"/>
      <name val="Tahoma"/>
      <family val="2"/>
    </font>
    <font>
      <b/>
      <sz val="14"/>
      <color theme="1"/>
      <name val="Angsana New"/>
      <family val="1"/>
    </font>
    <font>
      <b/>
      <sz val="14"/>
      <color indexed="8"/>
      <name val="Angsana New"/>
      <family val="1"/>
    </font>
    <font>
      <b/>
      <sz val="14"/>
      <color rgb="FF1F1F1F"/>
      <name val="Angsana New"/>
      <family val="1"/>
    </font>
    <font>
      <b/>
      <sz val="14"/>
      <name val="Angsana New"/>
      <family val="1"/>
    </font>
    <font>
      <b/>
      <sz val="14"/>
      <color rgb="FFFF0000"/>
      <name val="Angsana New"/>
      <family val="1"/>
    </font>
    <font>
      <b/>
      <u/>
      <sz val="14"/>
      <color theme="1"/>
      <name val="Angsana New"/>
      <family val="1"/>
    </font>
    <font>
      <b/>
      <sz val="14"/>
      <color rgb="FF000000"/>
      <name val="Angsana New"/>
      <family val="1"/>
    </font>
    <font>
      <sz val="16"/>
      <color rgb="FF002060"/>
      <name val="TH SarabunPSK"/>
      <family val="2"/>
    </font>
    <font>
      <sz val="16"/>
      <color rgb="FFFF0000"/>
      <name val="TH SarabunPSK"/>
      <family val="2"/>
    </font>
    <font>
      <sz val="16"/>
      <color indexed="8"/>
      <name val="TH SarabunPSK"/>
      <family val="2"/>
    </font>
    <font>
      <sz val="22"/>
      <color rgb="FFFF0000"/>
      <name val="TH SarabunPSK"/>
      <family val="2"/>
    </font>
    <font>
      <b/>
      <u/>
      <sz val="16"/>
      <color theme="1"/>
      <name val="TH SarabunPSK"/>
      <family val="2"/>
    </font>
    <font>
      <sz val="14"/>
      <color indexed="8"/>
      <name val="TH SarabunPSK"/>
      <family val="2"/>
    </font>
    <font>
      <sz val="14"/>
      <color rgb="FF000000"/>
      <name val="TH SarabunPSK"/>
      <family val="2"/>
    </font>
    <font>
      <sz val="11"/>
      <name val="Tahoma"/>
      <family val="2"/>
      <charset val="222"/>
      <scheme val="minor"/>
    </font>
    <font>
      <sz val="14"/>
      <name val="TH SarabunIT๙"/>
      <family val="2"/>
    </font>
    <font>
      <sz val="16"/>
      <name val="Tahoma"/>
      <family val="2"/>
      <charset val="222"/>
      <scheme val="minor"/>
    </font>
    <font>
      <sz val="14"/>
      <color theme="1"/>
      <name val="Tahoma"/>
      <family val="2"/>
      <charset val="222"/>
      <scheme val="minor"/>
    </font>
    <font>
      <b/>
      <u/>
      <sz val="14"/>
      <name val="TH SarabunPSK"/>
      <family val="2"/>
    </font>
    <font>
      <b/>
      <sz val="16"/>
      <color rgb="FF000000"/>
      <name val="TH SarabunPSK"/>
      <family val="2"/>
    </font>
    <font>
      <sz val="22"/>
      <color theme="1"/>
      <name val="TH SarabunPSK"/>
      <family val="2"/>
    </font>
    <font>
      <b/>
      <sz val="14"/>
      <color rgb="FFFF0000"/>
      <name val="TH SarabunPSK"/>
      <family val="2"/>
    </font>
    <font>
      <sz val="12"/>
      <color theme="1"/>
      <name val="Tahoma"/>
      <family val="2"/>
      <charset val="222"/>
      <scheme val="minor"/>
    </font>
    <font>
      <sz val="12"/>
      <color theme="1"/>
      <name val="TH SarabunIT๙"/>
      <family val="2"/>
    </font>
    <font>
      <b/>
      <sz val="16"/>
      <color rgb="FF1F1F1F"/>
      <name val="TH SarabunPSK"/>
      <family val="2"/>
    </font>
    <font>
      <sz val="14"/>
      <color rgb="FFFF0000"/>
      <name val="TH SarabunPSK"/>
      <family val="2"/>
    </font>
    <font>
      <sz val="11"/>
      <color rgb="FF9C5700"/>
      <name val="Tahoma"/>
      <family val="2"/>
      <charset val="222"/>
      <scheme val="minor"/>
    </font>
    <font>
      <b/>
      <sz val="10"/>
      <color rgb="FF1F1F1F"/>
      <name val="Tahoma"/>
      <family val="2"/>
    </font>
    <font>
      <b/>
      <sz val="10"/>
      <color rgb="FFFF0000"/>
      <name val="Tahoma"/>
      <family val="2"/>
    </font>
    <font>
      <b/>
      <sz val="10"/>
      <color indexed="10"/>
      <name val="Tahoma"/>
      <family val="2"/>
    </font>
    <font>
      <b/>
      <sz val="12"/>
      <color theme="1"/>
      <name val="Tahoma"/>
      <family val="2"/>
    </font>
    <font>
      <b/>
      <sz val="12"/>
      <color indexed="8"/>
      <name val="Tahoma"/>
      <family val="2"/>
    </font>
    <font>
      <sz val="12"/>
      <color rgb="FF1F1F1F"/>
      <name val="Tahoma"/>
      <family val="2"/>
    </font>
    <font>
      <b/>
      <sz val="12"/>
      <name val="Tahoma"/>
      <family val="2"/>
    </font>
    <font>
      <sz val="12"/>
      <color rgb="FFFF0000"/>
      <name val="Tahoma"/>
      <family val="2"/>
    </font>
    <font>
      <sz val="12"/>
      <color indexed="8"/>
      <name val="Tahoma"/>
      <family val="2"/>
    </font>
    <font>
      <sz val="12"/>
      <color indexed="10"/>
      <name val="Tahoma"/>
      <family val="2"/>
    </font>
    <font>
      <b/>
      <sz val="11"/>
      <color indexed="8"/>
      <name val="Tahoma"/>
      <family val="2"/>
    </font>
    <font>
      <b/>
      <sz val="11"/>
      <color rgb="FF1F1F1F"/>
      <name val="Tahoma"/>
      <family val="2"/>
    </font>
    <font>
      <b/>
      <sz val="11"/>
      <color rgb="FFFF0000"/>
      <name val="Tahoma"/>
      <family val="2"/>
    </font>
    <font>
      <b/>
      <sz val="11"/>
      <color rgb="FF000000"/>
      <name val="Tahoma"/>
      <family val="2"/>
    </font>
    <font>
      <b/>
      <u/>
      <sz val="11"/>
      <color rgb="FF000000"/>
      <name val="Tahoma"/>
      <family val="2"/>
    </font>
    <font>
      <b/>
      <u/>
      <sz val="16"/>
      <name val="TH SarabunPSK"/>
      <family val="2"/>
    </font>
    <font>
      <b/>
      <sz val="16"/>
      <color theme="1"/>
      <name val="TH SarabunIT๙"/>
      <family val="2"/>
    </font>
    <font>
      <sz val="16"/>
      <name val="TH SarabunIT๙"/>
      <family val="2"/>
    </font>
    <font>
      <sz val="16"/>
      <color theme="1"/>
      <name val="TH SarabunIT๙"/>
      <family val="2"/>
    </font>
    <font>
      <b/>
      <sz val="10"/>
      <color rgb="FF000000"/>
      <name val="Tahoma"/>
      <family val="2"/>
    </font>
    <font>
      <sz val="16"/>
      <color rgb="FF000000"/>
      <name val="TH SarabunPSK"/>
      <family val="2"/>
    </font>
    <font>
      <sz val="16"/>
      <color rgb="FF1F1F1F"/>
      <name val="TH SarabunPSK"/>
      <family val="2"/>
    </font>
    <font>
      <b/>
      <sz val="16"/>
      <color rgb="FF0070C0"/>
      <name val="TH SarabunPSK"/>
      <family val="2"/>
    </font>
    <font>
      <u/>
      <sz val="11"/>
      <color theme="10"/>
      <name val="Tahoma"/>
      <family val="2"/>
      <scheme val="minor"/>
    </font>
    <font>
      <sz val="26"/>
      <color theme="1"/>
      <name val="TH SarabunPSK"/>
      <family val="2"/>
    </font>
    <font>
      <b/>
      <sz val="26"/>
      <color theme="1"/>
      <name val="TH SarabunPSK"/>
      <family val="2"/>
    </font>
    <font>
      <sz val="8"/>
      <name val="Tahoma"/>
      <family val="2"/>
      <charset val="222"/>
      <scheme val="minor"/>
    </font>
    <font>
      <sz val="14"/>
      <color theme="1"/>
      <name val="TH Sarabun New"/>
      <family val="2"/>
    </font>
    <font>
      <b/>
      <sz val="18"/>
      <color theme="1"/>
      <name val="TH Sarabun New"/>
      <family val="2"/>
    </font>
    <font>
      <b/>
      <sz val="14"/>
      <color theme="1"/>
      <name val="TH Sarabun New"/>
      <family val="2"/>
    </font>
    <font>
      <b/>
      <sz val="14"/>
      <color indexed="8"/>
      <name val="TH Sarabun New"/>
      <family val="2"/>
    </font>
    <font>
      <sz val="12"/>
      <color theme="1"/>
      <name val="TH Sarabun New"/>
      <family val="2"/>
    </font>
    <font>
      <sz val="10"/>
      <color rgb="FF1F1F1F"/>
      <name val="TH Sarabun New"/>
      <family val="2"/>
    </font>
    <font>
      <sz val="12"/>
      <name val="TH Sarabun New"/>
      <family val="2"/>
    </font>
    <font>
      <b/>
      <sz val="11"/>
      <color theme="1"/>
      <name val="TH Sarabun New"/>
      <family val="2"/>
    </font>
    <font>
      <sz val="14"/>
      <name val="TH Sarabun New"/>
      <family val="2"/>
    </font>
    <font>
      <sz val="11"/>
      <color theme="1"/>
      <name val="TH Sarabun New"/>
      <family val="2"/>
    </font>
    <font>
      <sz val="10"/>
      <color theme="1"/>
      <name val="TH Sarabun New"/>
      <family val="2"/>
    </font>
    <font>
      <b/>
      <sz val="12"/>
      <name val="TH Sarabun New"/>
      <family val="2"/>
    </font>
    <font>
      <b/>
      <sz val="12"/>
      <color theme="1"/>
      <name val="TH Sarabun New"/>
      <family val="2"/>
    </font>
    <font>
      <sz val="14"/>
      <color rgb="FF000000"/>
      <name val="Angsana New"/>
      <family val="1"/>
    </font>
  </fonts>
  <fills count="1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C6EFCE"/>
      </patternFill>
    </fill>
    <fill>
      <patternFill patternType="solid">
        <fgColor theme="9"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EB9C"/>
      </patternFill>
    </fill>
    <fill>
      <patternFill patternType="solid">
        <fgColor indexed="13"/>
        <bgColor indexed="64"/>
      </patternFill>
    </fill>
    <fill>
      <patternFill patternType="solid">
        <fgColor indexed="9"/>
        <bgColor indexed="64"/>
      </patternFill>
    </fill>
    <fill>
      <patternFill patternType="solid">
        <fgColor rgb="FFFF00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5" tint="0.39997558519241921"/>
        <bgColor indexed="64"/>
      </patternFill>
    </fill>
  </fills>
  <borders count="6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hair">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style="thick">
        <color rgb="FFC00000"/>
      </left>
      <right style="thin">
        <color indexed="64"/>
      </right>
      <top style="thick">
        <color rgb="FFC00000"/>
      </top>
      <bottom style="medium">
        <color indexed="64"/>
      </bottom>
      <diagonal/>
    </border>
    <border>
      <left style="thin">
        <color indexed="64"/>
      </left>
      <right style="thin">
        <color indexed="64"/>
      </right>
      <top style="thick">
        <color rgb="FFC00000"/>
      </top>
      <bottom style="medium">
        <color indexed="64"/>
      </bottom>
      <diagonal/>
    </border>
    <border>
      <left style="thin">
        <color indexed="64"/>
      </left>
      <right style="thick">
        <color rgb="FFC00000"/>
      </right>
      <top style="thick">
        <color rgb="FFC00000"/>
      </top>
      <bottom style="medium">
        <color indexed="64"/>
      </bottom>
      <diagonal/>
    </border>
    <border>
      <left style="thick">
        <color rgb="FFC00000"/>
      </left>
      <right style="thin">
        <color indexed="64"/>
      </right>
      <top style="thick">
        <color rgb="FFC00000"/>
      </top>
      <bottom style="thin">
        <color indexed="64"/>
      </bottom>
      <diagonal/>
    </border>
    <border>
      <left style="thin">
        <color indexed="64"/>
      </left>
      <right style="thin">
        <color indexed="64"/>
      </right>
      <top style="thick">
        <color rgb="FFC00000"/>
      </top>
      <bottom style="thin">
        <color indexed="64"/>
      </bottom>
      <diagonal/>
    </border>
    <border>
      <left style="thin">
        <color indexed="64"/>
      </left>
      <right style="thick">
        <color rgb="FFC00000"/>
      </right>
      <top style="thick">
        <color rgb="FFC00000"/>
      </top>
      <bottom style="thin">
        <color indexed="64"/>
      </bottom>
      <diagonal/>
    </border>
    <border>
      <left style="thick">
        <color rgb="FFC00000"/>
      </left>
      <right style="thin">
        <color indexed="64"/>
      </right>
      <top/>
      <bottom style="thin">
        <color indexed="64"/>
      </bottom>
      <diagonal/>
    </border>
    <border>
      <left style="thin">
        <color indexed="64"/>
      </left>
      <right style="thick">
        <color rgb="FFC00000"/>
      </right>
      <top/>
      <bottom style="thin">
        <color indexed="64"/>
      </bottom>
      <diagonal/>
    </border>
    <border>
      <left style="thick">
        <color rgb="FFC00000"/>
      </left>
      <right style="thin">
        <color indexed="64"/>
      </right>
      <top style="thin">
        <color indexed="64"/>
      </top>
      <bottom style="thin">
        <color indexed="64"/>
      </bottom>
      <diagonal/>
    </border>
    <border>
      <left style="thin">
        <color indexed="64"/>
      </left>
      <right style="thick">
        <color rgb="FFC00000"/>
      </right>
      <top style="thin">
        <color indexed="64"/>
      </top>
      <bottom style="thin">
        <color indexed="64"/>
      </bottom>
      <diagonal/>
    </border>
  </borders>
  <cellStyleXfs count="23">
    <xf numFmtId="0" fontId="0" fillId="0" borderId="0"/>
    <xf numFmtId="43"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43" fontId="1" fillId="0" borderId="0" applyFont="0" applyFill="0" applyBorder="0" applyAlignment="0" applyProtection="0"/>
    <xf numFmtId="0" fontId="29"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0" fontId="30" fillId="0" borderId="0"/>
    <xf numFmtId="0" fontId="30"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0" fillId="0" borderId="0"/>
    <xf numFmtId="0" fontId="32" fillId="0" borderId="0" applyNumberFormat="0" applyFill="0" applyBorder="0" applyProtection="0">
      <alignment vertical="top"/>
    </xf>
    <xf numFmtId="0" fontId="33" fillId="0" borderId="0"/>
    <xf numFmtId="43" fontId="1" fillId="0" borderId="0" applyFont="0" applyFill="0" applyBorder="0" applyAlignment="0" applyProtection="0"/>
    <xf numFmtId="189" fontId="1" fillId="0" borderId="0" applyFont="0" applyFill="0" applyBorder="0" applyAlignment="0" applyProtection="0"/>
    <xf numFmtId="0" fontId="65" fillId="8" borderId="0" applyNumberFormat="0" applyBorder="0" applyAlignment="0" applyProtection="0"/>
    <xf numFmtId="0" fontId="122" fillId="12" borderId="0" applyNumberFormat="0" applyBorder="0" applyAlignment="0" applyProtection="0"/>
    <xf numFmtId="0" fontId="1" fillId="0" borderId="0"/>
    <xf numFmtId="0" fontId="146" fillId="0" borderId="0" applyNumberFormat="0" applyFill="0" applyBorder="0" applyAlignment="0" applyProtection="0"/>
  </cellStyleXfs>
  <cellXfs count="3799">
    <xf numFmtId="0" fontId="0" fillId="0" borderId="0" xfId="0"/>
    <xf numFmtId="0" fontId="3" fillId="5" borderId="11" xfId="0" applyFont="1" applyFill="1" applyBorder="1" applyAlignment="1">
      <alignment horizontal="left" vertical="top"/>
    </xf>
    <xf numFmtId="0" fontId="3" fillId="5" borderId="12" xfId="0" applyFont="1" applyFill="1" applyBorder="1" applyAlignment="1">
      <alignment horizontal="centerContinuous" vertical="top" wrapText="1"/>
    </xf>
    <xf numFmtId="0" fontId="3" fillId="5" borderId="12" xfId="0" applyFont="1" applyFill="1" applyBorder="1" applyAlignment="1">
      <alignment horizontal="center" vertical="top" wrapText="1"/>
    </xf>
    <xf numFmtId="0" fontId="3" fillId="3" borderId="11" xfId="0" applyFont="1" applyFill="1" applyBorder="1" applyAlignment="1">
      <alignment horizontal="left" vertical="top"/>
    </xf>
    <xf numFmtId="0" fontId="3" fillId="3" borderId="12" xfId="0" applyFont="1" applyFill="1" applyBorder="1" applyAlignment="1">
      <alignment horizontal="centerContinuous" vertical="top" wrapText="1"/>
    </xf>
    <xf numFmtId="0" fontId="3" fillId="3" borderId="12" xfId="0" applyFont="1" applyFill="1" applyBorder="1" applyAlignment="1">
      <alignment horizontal="center" vertical="top" wrapText="1"/>
    </xf>
    <xf numFmtId="0" fontId="6" fillId="0" borderId="5" xfId="0" applyFont="1" applyBorder="1" applyAlignment="1">
      <alignment horizontal="center" vertical="top" wrapText="1"/>
    </xf>
    <xf numFmtId="0" fontId="6" fillId="0" borderId="5" xfId="0" applyFont="1" applyBorder="1" applyAlignment="1">
      <alignment vertical="top" wrapText="1"/>
    </xf>
    <xf numFmtId="0" fontId="6" fillId="0" borderId="5" xfId="0" applyFont="1" applyBorder="1" applyAlignment="1">
      <alignment horizontal="left" vertical="top" wrapText="1"/>
    </xf>
    <xf numFmtId="0" fontId="7" fillId="3" borderId="11" xfId="0" applyFont="1" applyFill="1" applyBorder="1" applyAlignment="1">
      <alignment horizontal="left" vertical="top"/>
    </xf>
    <xf numFmtId="0" fontId="7" fillId="3" borderId="12" xfId="0" applyFont="1" applyFill="1" applyBorder="1" applyAlignment="1">
      <alignment horizontal="centerContinuous" vertical="top" wrapText="1"/>
    </xf>
    <xf numFmtId="0" fontId="6" fillId="3" borderId="12" xfId="0" applyFont="1" applyFill="1" applyBorder="1" applyAlignment="1">
      <alignment horizontal="center" vertical="top" wrapText="1"/>
    </xf>
    <xf numFmtId="0" fontId="6" fillId="3" borderId="12" xfId="0" applyFont="1" applyFill="1" applyBorder="1" applyAlignment="1">
      <alignment vertical="top" wrapText="1"/>
    </xf>
    <xf numFmtId="0" fontId="8" fillId="0" borderId="5" xfId="0" applyFont="1" applyBorder="1" applyAlignment="1">
      <alignment horizontal="center" vertical="top"/>
    </xf>
    <xf numFmtId="0" fontId="8" fillId="0" borderId="12" xfId="0" applyFont="1" applyBorder="1" applyAlignment="1">
      <alignment horizontal="left" vertical="top" wrapText="1"/>
    </xf>
    <xf numFmtId="0" fontId="6" fillId="3" borderId="5" xfId="0" applyFont="1" applyFill="1" applyBorder="1" applyAlignment="1">
      <alignment horizontal="center" vertical="top" wrapText="1"/>
    </xf>
    <xf numFmtId="0" fontId="6" fillId="3" borderId="5" xfId="0" applyFont="1" applyFill="1" applyBorder="1" applyAlignment="1">
      <alignment vertical="top" wrapText="1"/>
    </xf>
    <xf numFmtId="0" fontId="8" fillId="0" borderId="5" xfId="0" applyFont="1" applyBorder="1" applyAlignment="1">
      <alignment vertical="top" wrapText="1"/>
    </xf>
    <xf numFmtId="0" fontId="8" fillId="0" borderId="5" xfId="0" applyFont="1" applyBorder="1" applyAlignment="1">
      <alignment horizontal="left" vertical="top" wrapText="1"/>
    </xf>
    <xf numFmtId="0" fontId="6" fillId="0" borderId="13" xfId="0" applyFont="1" applyBorder="1" applyAlignment="1">
      <alignment horizontal="center" vertical="top" wrapText="1"/>
    </xf>
    <xf numFmtId="0" fontId="6" fillId="0" borderId="5" xfId="0" applyFont="1" applyBorder="1" applyAlignment="1">
      <alignment horizontal="center" vertical="top"/>
    </xf>
    <xf numFmtId="0" fontId="3" fillId="3" borderId="7" xfId="0" applyFont="1" applyFill="1" applyBorder="1" applyAlignment="1">
      <alignment horizontal="left" vertical="top"/>
    </xf>
    <xf numFmtId="0" fontId="3" fillId="3" borderId="8" xfId="0" applyFont="1" applyFill="1" applyBorder="1" applyAlignment="1">
      <alignment horizontal="centerContinuous" vertical="top" wrapText="1"/>
    </xf>
    <xf numFmtId="0" fontId="3" fillId="3" borderId="8" xfId="0" applyFont="1" applyFill="1" applyBorder="1" applyAlignment="1">
      <alignment horizontal="center" vertical="top" wrapText="1"/>
    </xf>
    <xf numFmtId="0" fontId="6" fillId="0" borderId="1" xfId="0" applyFont="1" applyBorder="1" applyAlignment="1">
      <alignment horizontal="center" vertical="top"/>
    </xf>
    <xf numFmtId="0" fontId="2" fillId="0" borderId="5" xfId="0" applyFont="1" applyBorder="1" applyAlignment="1">
      <alignment vertical="top" wrapText="1"/>
    </xf>
    <xf numFmtId="0" fontId="3" fillId="3" borderId="12" xfId="0" applyFont="1" applyFill="1" applyBorder="1" applyAlignment="1">
      <alignment horizontal="left" vertical="top"/>
    </xf>
    <xf numFmtId="0" fontId="3" fillId="3" borderId="12" xfId="0" applyFont="1" applyFill="1" applyBorder="1" applyAlignment="1">
      <alignment horizontal="center" vertical="top"/>
    </xf>
    <xf numFmtId="0" fontId="8" fillId="0" borderId="5" xfId="0" applyFont="1" applyBorder="1" applyAlignment="1">
      <alignment horizontal="center" vertical="top" wrapText="1"/>
    </xf>
    <xf numFmtId="0" fontId="6"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6" fillId="2" borderId="5" xfId="0" applyFont="1" applyFill="1" applyBorder="1" applyAlignment="1">
      <alignment horizontal="center" vertical="top" wrapText="1"/>
    </xf>
    <xf numFmtId="0" fontId="6" fillId="2" borderId="5" xfId="0" applyFont="1" applyFill="1" applyBorder="1" applyAlignment="1">
      <alignment vertical="top" wrapText="1"/>
    </xf>
    <xf numFmtId="0" fontId="6" fillId="2" borderId="1" xfId="0" applyFont="1" applyFill="1" applyBorder="1" applyAlignment="1">
      <alignment horizontal="center" vertical="top" wrapText="1"/>
    </xf>
    <xf numFmtId="0" fontId="6" fillId="0" borderId="1" xfId="0" applyFont="1" applyBorder="1" applyAlignment="1">
      <alignment horizontal="left" vertical="top" wrapText="1"/>
    </xf>
    <xf numFmtId="0" fontId="8" fillId="3" borderId="12" xfId="0" applyFont="1" applyFill="1" applyBorder="1" applyAlignment="1">
      <alignment horizontal="left" vertical="top" wrapText="1"/>
    </xf>
    <xf numFmtId="0" fontId="8" fillId="3" borderId="5" xfId="0" applyFont="1" applyFill="1" applyBorder="1" applyAlignment="1">
      <alignment horizontal="center" vertical="top" wrapText="1"/>
    </xf>
    <xf numFmtId="0" fontId="6" fillId="3" borderId="5" xfId="0" applyFont="1" applyFill="1" applyBorder="1" applyAlignment="1">
      <alignment horizontal="left" vertical="top" wrapText="1"/>
    </xf>
    <xf numFmtId="0" fontId="3" fillId="3" borderId="11" xfId="0" applyFont="1" applyFill="1" applyBorder="1" applyAlignment="1">
      <alignment vertical="top"/>
    </xf>
    <xf numFmtId="0" fontId="7" fillId="3" borderId="1" xfId="0" applyFont="1" applyFill="1" applyBorder="1" applyAlignment="1">
      <alignment horizontal="left" vertical="top"/>
    </xf>
    <xf numFmtId="0" fontId="8" fillId="3" borderId="1" xfId="0" applyFont="1" applyFill="1" applyBorder="1" applyAlignment="1">
      <alignment horizontal="left" vertical="top" wrapText="1"/>
    </xf>
    <xf numFmtId="0" fontId="6" fillId="5" borderId="5" xfId="0" applyFont="1" applyFill="1" applyBorder="1" applyAlignment="1">
      <alignment horizontal="center" vertical="top" wrapText="1"/>
    </xf>
    <xf numFmtId="0" fontId="8" fillId="5" borderId="5" xfId="0" applyFont="1" applyFill="1" applyBorder="1" applyAlignment="1">
      <alignment horizontal="left" vertical="top" wrapText="1"/>
    </xf>
    <xf numFmtId="0" fontId="6" fillId="5" borderId="10" xfId="0" applyFont="1" applyFill="1" applyBorder="1" applyAlignment="1">
      <alignment horizontal="center" vertical="top" wrapText="1"/>
    </xf>
    <xf numFmtId="0" fontId="6" fillId="5" borderId="5" xfId="0" applyFont="1" applyFill="1" applyBorder="1" applyAlignment="1">
      <alignment vertical="top" wrapText="1"/>
    </xf>
    <xf numFmtId="0" fontId="8" fillId="0" borderId="0" xfId="0" applyFont="1"/>
    <xf numFmtId="0" fontId="7" fillId="3" borderId="5" xfId="0" applyFont="1" applyFill="1" applyBorder="1" applyAlignment="1">
      <alignment horizontal="center" vertical="top" wrapText="1"/>
    </xf>
    <xf numFmtId="0" fontId="8" fillId="0" borderId="0" xfId="0" applyFont="1" applyAlignment="1">
      <alignment horizontal="center"/>
    </xf>
    <xf numFmtId="0" fontId="8" fillId="0" borderId="5" xfId="0" applyFont="1" applyBorder="1"/>
    <xf numFmtId="0" fontId="8" fillId="0" borderId="5" xfId="0" applyFont="1" applyBorder="1" applyAlignment="1">
      <alignment horizontal="center"/>
    </xf>
    <xf numFmtId="0" fontId="10" fillId="0" borderId="20" xfId="0" applyFont="1"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19" xfId="0" applyFont="1" applyBorder="1" applyAlignment="1">
      <alignment vertical="center"/>
    </xf>
    <xf numFmtId="0" fontId="10" fillId="0" borderId="19" xfId="0" applyFont="1" applyBorder="1" applyAlignment="1">
      <alignment vertical="center" wrapText="1"/>
    </xf>
    <xf numFmtId="0" fontId="10" fillId="0" borderId="22" xfId="0" applyFont="1" applyBorder="1" applyAlignment="1">
      <alignment vertical="center" wrapText="1"/>
    </xf>
    <xf numFmtId="0" fontId="13" fillId="0" borderId="19" xfId="0" applyFont="1" applyBorder="1" applyAlignment="1">
      <alignment vertical="center" wrapText="1"/>
    </xf>
    <xf numFmtId="0" fontId="14" fillId="0" borderId="19" xfId="0" applyFont="1" applyBorder="1" applyAlignment="1">
      <alignment vertical="center" wrapText="1"/>
    </xf>
    <xf numFmtId="0" fontId="10" fillId="0" borderId="23" xfId="0" applyFont="1" applyBorder="1" applyAlignment="1">
      <alignment horizontal="center" vertical="center"/>
    </xf>
    <xf numFmtId="0" fontId="16" fillId="0" borderId="20" xfId="0" applyFont="1" applyBorder="1" applyAlignment="1">
      <alignment vertical="top"/>
    </xf>
    <xf numFmtId="0" fontId="17" fillId="0" borderId="19" xfId="0" applyFont="1" applyBorder="1" applyAlignment="1">
      <alignment vertical="center" wrapText="1"/>
    </xf>
    <xf numFmtId="0" fontId="16" fillId="0" borderId="19" xfId="0" applyFont="1" applyBorder="1" applyAlignment="1">
      <alignment vertical="top"/>
    </xf>
    <xf numFmtId="0" fontId="16" fillId="0" borderId="19" xfId="0" applyFont="1" applyBorder="1" applyAlignment="1">
      <alignment vertical="center" wrapText="1"/>
    </xf>
    <xf numFmtId="0" fontId="17" fillId="0" borderId="27" xfId="0" applyFont="1" applyBorder="1" applyAlignment="1">
      <alignment vertical="center" wrapText="1"/>
    </xf>
    <xf numFmtId="0" fontId="17" fillId="0" borderId="22" xfId="0" applyFont="1" applyBorder="1" applyAlignment="1">
      <alignment vertical="center" wrapText="1"/>
    </xf>
    <xf numFmtId="0" fontId="17" fillId="0" borderId="32" xfId="0" applyFont="1" applyBorder="1" applyAlignment="1">
      <alignment vertical="center" wrapText="1"/>
    </xf>
    <xf numFmtId="0" fontId="18" fillId="0" borderId="0" xfId="0" applyFont="1" applyAlignment="1">
      <alignment vertical="center"/>
    </xf>
    <xf numFmtId="0" fontId="0" fillId="0" borderId="0" xfId="0" applyAlignment="1">
      <alignment wrapText="1"/>
    </xf>
    <xf numFmtId="0" fontId="18" fillId="0" borderId="0" xfId="0" applyFont="1"/>
    <xf numFmtId="0" fontId="20" fillId="0" borderId="0" xfId="0" applyFont="1"/>
    <xf numFmtId="0" fontId="20" fillId="0" borderId="5" xfId="0" applyFont="1" applyBorder="1"/>
    <xf numFmtId="0" fontId="20" fillId="0" borderId="0" xfId="0" applyFont="1" applyAlignment="1">
      <alignment horizontal="center"/>
    </xf>
    <xf numFmtId="0" fontId="20" fillId="0" borderId="5" xfId="0" applyFont="1" applyBorder="1" applyAlignment="1">
      <alignment horizontal="center"/>
    </xf>
    <xf numFmtId="0" fontId="20" fillId="0" borderId="5" xfId="0" applyFont="1" applyBorder="1" applyAlignment="1">
      <alignment vertical="center" wrapText="1"/>
    </xf>
    <xf numFmtId="0" fontId="20" fillId="0" borderId="5" xfId="0" applyFont="1" applyBorder="1" applyAlignment="1">
      <alignment horizontal="center" vertical="center"/>
    </xf>
    <xf numFmtId="188" fontId="20" fillId="0" borderId="5" xfId="1" applyNumberFormat="1" applyFont="1" applyFill="1" applyBorder="1"/>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horizontal="center" vertical="center" wrapText="1"/>
    </xf>
    <xf numFmtId="188" fontId="20" fillId="0" borderId="0" xfId="1" applyNumberFormat="1" applyFont="1" applyBorder="1" applyAlignment="1">
      <alignment vertical="center"/>
    </xf>
    <xf numFmtId="0" fontId="22" fillId="0" borderId="0" xfId="3" applyFont="1" applyFill="1" applyBorder="1" applyAlignment="1" applyProtection="1"/>
    <xf numFmtId="188" fontId="20" fillId="0" borderId="0" xfId="0" applyNumberFormat="1" applyFont="1" applyAlignment="1">
      <alignment horizontal="right"/>
    </xf>
    <xf numFmtId="188" fontId="20" fillId="0" borderId="0" xfId="4" applyNumberFormat="1" applyFont="1" applyFill="1" applyBorder="1"/>
    <xf numFmtId="188" fontId="20" fillId="0" borderId="5" xfId="1" applyNumberFormat="1" applyFont="1" applyBorder="1" applyAlignment="1">
      <alignment horizontal="center" vertical="center"/>
    </xf>
    <xf numFmtId="43" fontId="20" fillId="0" borderId="5" xfId="0" applyNumberFormat="1" applyFont="1" applyBorder="1" applyAlignment="1">
      <alignment horizontal="center" vertical="center"/>
    </xf>
    <xf numFmtId="43" fontId="20" fillId="0" borderId="5" xfId="1" applyFont="1" applyBorder="1" applyAlignment="1">
      <alignment horizontal="center"/>
    </xf>
    <xf numFmtId="2" fontId="20" fillId="0" borderId="5" xfId="0" applyNumberFormat="1" applyFont="1" applyBorder="1" applyAlignment="1">
      <alignment horizontal="center"/>
    </xf>
    <xf numFmtId="0" fontId="26" fillId="0" borderId="5" xfId="0" applyFont="1" applyBorder="1" applyAlignment="1">
      <alignment horizontal="center" vertical="center" wrapText="1"/>
    </xf>
    <xf numFmtId="188" fontId="26" fillId="0" borderId="5" xfId="1" applyNumberFormat="1" applyFont="1" applyFill="1" applyBorder="1" applyAlignment="1">
      <alignment horizontal="center" vertical="top" wrapText="1"/>
    </xf>
    <xf numFmtId="188" fontId="28" fillId="2" borderId="5" xfId="1" applyNumberFormat="1" applyFont="1" applyFill="1" applyBorder="1" applyAlignment="1">
      <alignment vertical="top" wrapText="1"/>
    </xf>
    <xf numFmtId="0" fontId="26" fillId="2" borderId="5" xfId="0" applyFont="1" applyFill="1" applyBorder="1" applyAlignment="1">
      <alignment horizontal="left" vertical="top" wrapText="1"/>
    </xf>
    <xf numFmtId="0" fontId="26" fillId="2" borderId="5" xfId="0" applyFont="1" applyFill="1" applyBorder="1" applyAlignment="1">
      <alignment vertical="top" wrapText="1"/>
    </xf>
    <xf numFmtId="0" fontId="26" fillId="2" borderId="5" xfId="0" applyFont="1" applyFill="1" applyBorder="1" applyAlignment="1">
      <alignment horizontal="center" vertical="top" wrapText="1"/>
    </xf>
    <xf numFmtId="188" fontId="26" fillId="2" borderId="5" xfId="1" applyNumberFormat="1" applyFont="1" applyFill="1" applyBorder="1" applyAlignment="1">
      <alignment horizontal="center" vertical="top" wrapText="1"/>
    </xf>
    <xf numFmtId="0" fontId="27" fillId="2" borderId="5" xfId="0" applyFont="1" applyFill="1" applyBorder="1" applyAlignment="1">
      <alignment horizontal="center" vertical="top" wrapText="1"/>
    </xf>
    <xf numFmtId="0" fontId="25" fillId="2" borderId="5" xfId="0" applyFont="1" applyFill="1" applyBorder="1" applyAlignment="1">
      <alignment vertical="top"/>
    </xf>
    <xf numFmtId="0" fontId="28" fillId="2" borderId="5" xfId="0" applyFont="1" applyFill="1" applyBorder="1" applyAlignment="1">
      <alignment vertical="top" wrapText="1"/>
    </xf>
    <xf numFmtId="0" fontId="25" fillId="2" borderId="5" xfId="0" applyFont="1" applyFill="1" applyBorder="1" applyAlignment="1">
      <alignment vertical="top" wrapText="1"/>
    </xf>
    <xf numFmtId="188" fontId="25" fillId="2" borderId="5" xfId="1" applyNumberFormat="1" applyFont="1" applyFill="1" applyBorder="1" applyAlignment="1">
      <alignment vertical="top" wrapText="1"/>
    </xf>
    <xf numFmtId="0" fontId="28" fillId="6" borderId="5" xfId="0" applyFont="1" applyFill="1" applyBorder="1" applyAlignment="1">
      <alignment horizontal="center" vertical="center"/>
    </xf>
    <xf numFmtId="0" fontId="25" fillId="6" borderId="5" xfId="0" applyFont="1" applyFill="1" applyBorder="1" applyAlignment="1">
      <alignment vertical="top"/>
    </xf>
    <xf numFmtId="0" fontId="25" fillId="2" borderId="5" xfId="0" applyFont="1" applyFill="1" applyBorder="1" applyAlignment="1">
      <alignment horizontal="center" vertical="top" wrapText="1"/>
    </xf>
    <xf numFmtId="188" fontId="26" fillId="0" borderId="10" xfId="1" applyNumberFormat="1" applyFont="1" applyFill="1" applyBorder="1" applyAlignment="1">
      <alignment horizontal="center" vertical="top" wrapText="1"/>
    </xf>
    <xf numFmtId="0" fontId="25" fillId="0" borderId="0" xfId="0" applyFont="1" applyAlignment="1">
      <alignment vertical="top" wrapText="1"/>
    </xf>
    <xf numFmtId="188" fontId="26" fillId="0" borderId="10" xfId="1" applyNumberFormat="1" applyFont="1" applyBorder="1" applyAlignment="1">
      <alignment horizontal="center" vertical="top" wrapText="1"/>
    </xf>
    <xf numFmtId="0" fontId="25" fillId="0" borderId="5" xfId="0" applyFont="1" applyBorder="1" applyAlignment="1">
      <alignment horizontal="center" vertical="center" wrapText="1"/>
    </xf>
    <xf numFmtId="0" fontId="26" fillId="0" borderId="10" xfId="0" applyFont="1" applyBorder="1" applyAlignment="1">
      <alignment horizontal="left" vertical="top" wrapText="1"/>
    </xf>
    <xf numFmtId="0" fontId="26" fillId="0" borderId="5" xfId="0" applyFont="1" applyBorder="1" applyAlignment="1">
      <alignment horizontal="left" vertical="top" wrapText="1"/>
    </xf>
    <xf numFmtId="0" fontId="26" fillId="0" borderId="10" xfId="0" applyFont="1" applyBorder="1" applyAlignment="1">
      <alignment horizontal="left" vertical="center" wrapText="1"/>
    </xf>
    <xf numFmtId="188" fontId="26" fillId="0" borderId="10" xfId="1" applyNumberFormat="1" applyFont="1" applyFill="1" applyBorder="1" applyAlignment="1">
      <alignment horizontal="center" vertical="center" wrapText="1"/>
    </xf>
    <xf numFmtId="0" fontId="28" fillId="2" borderId="5" xfId="0" applyFont="1" applyFill="1" applyBorder="1" applyAlignment="1">
      <alignment horizontal="center" vertical="center"/>
    </xf>
    <xf numFmtId="0" fontId="28" fillId="2" borderId="5" xfId="0" applyFont="1" applyFill="1" applyBorder="1" applyAlignment="1">
      <alignment horizontal="center" vertical="center" wrapText="1"/>
    </xf>
    <xf numFmtId="188" fontId="28" fillId="3" borderId="5" xfId="1" applyNumberFormat="1" applyFont="1" applyFill="1" applyBorder="1" applyAlignment="1">
      <alignment vertical="top" wrapText="1"/>
    </xf>
    <xf numFmtId="0" fontId="28" fillId="7" borderId="5" xfId="0" applyFont="1" applyFill="1" applyBorder="1" applyAlignment="1">
      <alignment horizontal="center" vertical="top" wrapText="1"/>
    </xf>
    <xf numFmtId="0" fontId="25" fillId="7" borderId="5" xfId="0" applyFont="1" applyFill="1" applyBorder="1" applyAlignment="1">
      <alignment vertical="top" wrapText="1"/>
    </xf>
    <xf numFmtId="0" fontId="26" fillId="7" borderId="5" xfId="0" applyFont="1" applyFill="1" applyBorder="1" applyAlignment="1">
      <alignment horizontal="center" vertical="top" wrapText="1"/>
    </xf>
    <xf numFmtId="188" fontId="25" fillId="7" borderId="5" xfId="1" applyNumberFormat="1" applyFont="1" applyFill="1" applyBorder="1" applyAlignment="1">
      <alignment vertical="top" wrapText="1"/>
    </xf>
    <xf numFmtId="0" fontId="26" fillId="0" borderId="10" xfId="0" applyFont="1" applyBorder="1" applyAlignment="1">
      <alignment horizontal="center" vertical="center" wrapText="1"/>
    </xf>
    <xf numFmtId="188" fontId="27" fillId="0" borderId="10" xfId="1" applyNumberFormat="1" applyFont="1" applyFill="1" applyBorder="1" applyAlignment="1">
      <alignment horizontal="center" vertical="center" wrapText="1"/>
    </xf>
    <xf numFmtId="0" fontId="26" fillId="0" borderId="5" xfId="0" applyFont="1" applyBorder="1" applyAlignment="1">
      <alignment horizontal="center" vertical="top" wrapText="1"/>
    </xf>
    <xf numFmtId="0" fontId="25" fillId="0" borderId="5" xfId="0" applyFont="1" applyBorder="1" applyAlignment="1">
      <alignment horizontal="center" vertical="center"/>
    </xf>
    <xf numFmtId="0" fontId="28" fillId="0" borderId="10" xfId="0" applyFont="1" applyBorder="1" applyAlignment="1">
      <alignment horizontal="center" vertical="center" wrapText="1"/>
    </xf>
    <xf numFmtId="0" fontId="35" fillId="0" borderId="0" xfId="0" applyFont="1" applyAlignment="1">
      <alignment horizontal="left" readingOrder="1"/>
    </xf>
    <xf numFmtId="0" fontId="25" fillId="0" borderId="0" xfId="0" applyFont="1" applyAlignment="1">
      <alignment vertical="top"/>
    </xf>
    <xf numFmtId="3" fontId="25" fillId="2" borderId="5" xfId="0" applyNumberFormat="1" applyFont="1" applyFill="1" applyBorder="1" applyAlignment="1">
      <alignment vertical="top" wrapText="1"/>
    </xf>
    <xf numFmtId="0" fontId="25" fillId="0" borderId="5" xfId="0" applyFont="1" applyBorder="1"/>
    <xf numFmtId="0" fontId="25" fillId="0" borderId="0" xfId="0" applyFont="1"/>
    <xf numFmtId="0" fontId="25" fillId="0" borderId="5" xfId="0" applyFont="1" applyBorder="1" applyAlignment="1">
      <alignment vertical="top" wrapText="1"/>
    </xf>
    <xf numFmtId="0" fontId="28" fillId="0" borderId="0" xfId="0" applyFont="1" applyAlignment="1">
      <alignment horizontal="center" vertical="center"/>
    </xf>
    <xf numFmtId="0" fontId="28" fillId="0" borderId="0" xfId="0" applyFont="1"/>
    <xf numFmtId="0" fontId="36" fillId="0" borderId="0" xfId="0" applyFont="1"/>
    <xf numFmtId="188" fontId="25" fillId="0" borderId="0" xfId="1" applyNumberFormat="1" applyFont="1"/>
    <xf numFmtId="187" fontId="28" fillId="0" borderId="0" xfId="0" applyNumberFormat="1" applyFont="1" applyAlignment="1">
      <alignment horizontal="center" vertical="center"/>
    </xf>
    <xf numFmtId="187" fontId="25" fillId="0" borderId="0" xfId="0" applyNumberFormat="1" applyFont="1"/>
    <xf numFmtId="0" fontId="25" fillId="0" borderId="2" xfId="0" applyFont="1" applyBorder="1"/>
    <xf numFmtId="0" fontId="25" fillId="0" borderId="3" xfId="0" applyFont="1" applyBorder="1"/>
    <xf numFmtId="0" fontId="25" fillId="0" borderId="4" xfId="0" applyFont="1" applyBorder="1"/>
    <xf numFmtId="0" fontId="25" fillId="0" borderId="7" xfId="0" applyFont="1" applyBorder="1"/>
    <xf numFmtId="0" fontId="25" fillId="0" borderId="8" xfId="0" applyFont="1" applyBorder="1"/>
    <xf numFmtId="0" fontId="25" fillId="0" borderId="9" xfId="0" applyFont="1" applyBorder="1"/>
    <xf numFmtId="0" fontId="25" fillId="0" borderId="0" xfId="0" applyFont="1" applyAlignment="1">
      <alignment wrapText="1"/>
    </xf>
    <xf numFmtId="0" fontId="25" fillId="0" borderId="5" xfId="0" applyFont="1" applyBorder="1" applyAlignment="1">
      <alignment vertical="top"/>
    </xf>
    <xf numFmtId="0" fontId="25" fillId="0" borderId="5" xfId="0" applyFont="1" applyBorder="1" applyAlignment="1">
      <alignment wrapText="1"/>
    </xf>
    <xf numFmtId="188" fontId="37" fillId="2" borderId="5" xfId="1" applyNumberFormat="1" applyFont="1" applyFill="1" applyBorder="1" applyAlignment="1">
      <alignment vertical="top" wrapText="1"/>
    </xf>
    <xf numFmtId="0" fontId="37" fillId="2" borderId="5" xfId="0" applyFont="1" applyFill="1" applyBorder="1" applyAlignment="1">
      <alignment vertical="top" wrapText="1"/>
    </xf>
    <xf numFmtId="0" fontId="37" fillId="2" borderId="5" xfId="0" applyFont="1" applyFill="1" applyBorder="1" applyAlignment="1">
      <alignment horizontal="center" vertical="top" wrapText="1"/>
    </xf>
    <xf numFmtId="188" fontId="26" fillId="2" borderId="5" xfId="1" applyNumberFormat="1" applyFont="1" applyFill="1" applyBorder="1" applyAlignment="1">
      <alignment vertical="top" wrapText="1"/>
    </xf>
    <xf numFmtId="0" fontId="39" fillId="0" borderId="5" xfId="0" applyFont="1" applyBorder="1" applyAlignment="1">
      <alignment horizontal="left" vertical="top" wrapText="1"/>
    </xf>
    <xf numFmtId="0" fontId="28" fillId="6" borderId="5" xfId="0" applyFont="1" applyFill="1" applyBorder="1" applyAlignment="1">
      <alignment vertical="top" wrapText="1"/>
    </xf>
    <xf numFmtId="0" fontId="39" fillId="0" borderId="0" xfId="0" applyFont="1" applyAlignment="1">
      <alignment vertical="top" wrapText="1"/>
    </xf>
    <xf numFmtId="0" fontId="39" fillId="0" borderId="5" xfId="0" applyFont="1" applyBorder="1" applyAlignment="1">
      <alignment vertical="top" wrapText="1"/>
    </xf>
    <xf numFmtId="188" fontId="28" fillId="6" borderId="5" xfId="1" applyNumberFormat="1" applyFont="1" applyFill="1" applyBorder="1" applyAlignment="1">
      <alignment vertical="top" wrapText="1"/>
    </xf>
    <xf numFmtId="0" fontId="26" fillId="0" borderId="5" xfId="0" quotePrefix="1" applyFont="1" applyBorder="1" applyAlignment="1">
      <alignment horizontal="left" vertical="top" wrapText="1"/>
    </xf>
    <xf numFmtId="0" fontId="25" fillId="6" borderId="5" xfId="0" applyFont="1" applyFill="1" applyBorder="1"/>
    <xf numFmtId="0" fontId="28" fillId="6" borderId="10" xfId="0" applyFont="1" applyFill="1" applyBorder="1" applyAlignment="1">
      <alignment horizontal="center" vertical="center" wrapText="1"/>
    </xf>
    <xf numFmtId="0" fontId="27" fillId="6" borderId="10" xfId="0" applyFont="1" applyFill="1" applyBorder="1" applyAlignment="1">
      <alignment horizontal="left" vertical="top"/>
    </xf>
    <xf numFmtId="0" fontId="26" fillId="6" borderId="10"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6" borderId="5" xfId="0" applyFont="1" applyFill="1" applyBorder="1" applyAlignment="1">
      <alignment horizontal="center" vertical="top" wrapText="1"/>
    </xf>
    <xf numFmtId="188" fontId="26" fillId="6" borderId="5" xfId="1" applyNumberFormat="1" applyFont="1" applyFill="1" applyBorder="1" applyAlignment="1">
      <alignment horizontal="center" vertical="top" wrapText="1"/>
    </xf>
    <xf numFmtId="188" fontId="27" fillId="6" borderId="10" xfId="1" applyNumberFormat="1" applyFont="1" applyFill="1" applyBorder="1" applyAlignment="1">
      <alignment horizontal="center" vertical="center" wrapText="1"/>
    </xf>
    <xf numFmtId="188" fontId="26" fillId="6" borderId="10" xfId="1" applyNumberFormat="1" applyFont="1" applyFill="1" applyBorder="1" applyAlignment="1">
      <alignment horizontal="center" vertical="top" wrapText="1"/>
    </xf>
    <xf numFmtId="0" fontId="25" fillId="6" borderId="5" xfId="0" applyFont="1" applyFill="1" applyBorder="1" applyAlignment="1">
      <alignment horizontal="center" vertical="center" wrapText="1"/>
    </xf>
    <xf numFmtId="0" fontId="27" fillId="6" borderId="10" xfId="0" applyFont="1" applyFill="1" applyBorder="1" applyAlignment="1">
      <alignment horizontal="left" vertical="center"/>
    </xf>
    <xf numFmtId="0" fontId="27" fillId="6" borderId="5" xfId="0" applyFont="1" applyFill="1" applyBorder="1" applyAlignment="1">
      <alignment vertical="top"/>
    </xf>
    <xf numFmtId="0" fontId="25" fillId="6" borderId="5" xfId="0" applyFont="1" applyFill="1" applyBorder="1" applyAlignment="1">
      <alignment vertical="top" wrapText="1"/>
    </xf>
    <xf numFmtId="0" fontId="26" fillId="6" borderId="5" xfId="0" applyFont="1" applyFill="1" applyBorder="1" applyAlignment="1">
      <alignment vertical="top" wrapText="1"/>
    </xf>
    <xf numFmtId="188" fontId="25" fillId="6" borderId="5" xfId="1" applyNumberFormat="1" applyFont="1" applyFill="1" applyBorder="1" applyAlignment="1">
      <alignment vertical="top" wrapText="1"/>
    </xf>
    <xf numFmtId="0" fontId="27" fillId="6" borderId="5" xfId="0" applyFont="1" applyFill="1" applyBorder="1" applyAlignment="1">
      <alignment horizontal="center" vertical="top" wrapText="1"/>
    </xf>
    <xf numFmtId="0" fontId="28" fillId="3" borderId="5" xfId="0" applyFont="1" applyFill="1" applyBorder="1" applyAlignment="1">
      <alignment vertical="top"/>
    </xf>
    <xf numFmtId="0" fontId="25" fillId="6" borderId="5" xfId="0" applyFont="1" applyFill="1" applyBorder="1" applyAlignment="1">
      <alignment wrapText="1"/>
    </xf>
    <xf numFmtId="0" fontId="28" fillId="6" borderId="5" xfId="0" applyFont="1" applyFill="1" applyBorder="1" applyAlignment="1">
      <alignment horizontal="center" vertical="center" wrapText="1"/>
    </xf>
    <xf numFmtId="0" fontId="28" fillId="6" borderId="5" xfId="0" applyFont="1" applyFill="1" applyBorder="1" applyAlignment="1">
      <alignment vertical="top"/>
    </xf>
    <xf numFmtId="0" fontId="28" fillId="0" borderId="5" xfId="0" applyFont="1" applyBorder="1" applyAlignment="1">
      <alignment vertical="top" wrapText="1"/>
    </xf>
    <xf numFmtId="0" fontId="28" fillId="6" borderId="5" xfId="0" applyFont="1" applyFill="1" applyBorder="1" applyAlignment="1">
      <alignment horizontal="left" vertical="top"/>
    </xf>
    <xf numFmtId="0" fontId="34" fillId="3" borderId="0" xfId="0" applyFont="1" applyFill="1"/>
    <xf numFmtId="0" fontId="34" fillId="3" borderId="0" xfId="0" applyFont="1" applyFill="1" applyAlignment="1">
      <alignment horizontal="center"/>
    </xf>
    <xf numFmtId="188" fontId="26" fillId="3" borderId="5" xfId="1" applyNumberFormat="1" applyFont="1" applyFill="1" applyBorder="1" applyAlignment="1">
      <alignment horizontal="center" vertical="top" wrapText="1"/>
    </xf>
    <xf numFmtId="188" fontId="38" fillId="3" borderId="5" xfId="1" applyNumberFormat="1" applyFont="1" applyFill="1" applyBorder="1" applyAlignment="1">
      <alignment horizontal="center"/>
    </xf>
    <xf numFmtId="0" fontId="25" fillId="3" borderId="0" xfId="0" applyFont="1" applyFill="1"/>
    <xf numFmtId="188" fontId="25" fillId="3" borderId="0" xfId="1" applyNumberFormat="1" applyFont="1" applyFill="1"/>
    <xf numFmtId="0" fontId="2" fillId="0" borderId="0" xfId="0" applyFont="1"/>
    <xf numFmtId="0" fontId="2" fillId="0" borderId="0" xfId="0" applyFont="1" applyAlignment="1">
      <alignment horizontal="left"/>
    </xf>
    <xf numFmtId="0" fontId="41" fillId="0" borderId="0" xfId="0" applyFont="1"/>
    <xf numFmtId="0" fontId="42" fillId="0" borderId="0" xfId="0" applyFont="1"/>
    <xf numFmtId="0" fontId="43" fillId="0" borderId="0" xfId="0" applyFont="1"/>
    <xf numFmtId="0" fontId="44" fillId="0" borderId="0" xfId="0" applyFont="1" applyAlignment="1">
      <alignment horizontal="left" readingOrder="1"/>
    </xf>
    <xf numFmtId="187" fontId="2" fillId="0" borderId="0" xfId="0" applyNumberFormat="1" applyFont="1"/>
    <xf numFmtId="0" fontId="2" fillId="0" borderId="0" xfId="0" applyFont="1" applyAlignment="1">
      <alignment horizontal="center"/>
    </xf>
    <xf numFmtId="0" fontId="45" fillId="0" borderId="2" xfId="0" applyFont="1" applyBorder="1"/>
    <xf numFmtId="0" fontId="45" fillId="0" borderId="3" xfId="0" applyFont="1" applyBorder="1"/>
    <xf numFmtId="0" fontId="45" fillId="0" borderId="0" xfId="0" applyFont="1"/>
    <xf numFmtId="0" fontId="45" fillId="0" borderId="7" xfId="0" applyFont="1" applyBorder="1"/>
    <xf numFmtId="0" fontId="45" fillId="0" borderId="8" xfId="0" applyFont="1" applyBorder="1"/>
    <xf numFmtId="0" fontId="45" fillId="0" borderId="5" xfId="0" applyFont="1" applyBorder="1" applyAlignment="1">
      <alignment horizontal="center"/>
    </xf>
    <xf numFmtId="0" fontId="45" fillId="0" borderId="11" xfId="0" applyFont="1" applyBorder="1" applyAlignment="1">
      <alignment horizontal="center"/>
    </xf>
    <xf numFmtId="0" fontId="47" fillId="0" borderId="5" xfId="0" applyFont="1" applyBorder="1" applyAlignment="1">
      <alignment horizontal="center" vertical="center" wrapText="1"/>
    </xf>
    <xf numFmtId="0" fontId="47" fillId="0" borderId="5" xfId="0" applyFont="1" applyBorder="1" applyAlignment="1">
      <alignment horizontal="center" vertical="top" wrapText="1"/>
    </xf>
    <xf numFmtId="188" fontId="47" fillId="0" borderId="5" xfId="1" applyNumberFormat="1" applyFont="1" applyFill="1" applyBorder="1" applyAlignment="1">
      <alignment horizontal="center" vertical="top" wrapText="1"/>
    </xf>
    <xf numFmtId="0" fontId="47" fillId="0" borderId="10" xfId="0" applyFont="1" applyBorder="1" applyAlignment="1">
      <alignment horizontal="center" vertical="top" wrapText="1"/>
    </xf>
    <xf numFmtId="0" fontId="45" fillId="0" borderId="1" xfId="0" applyFont="1" applyBorder="1"/>
    <xf numFmtId="0" fontId="43" fillId="2" borderId="1" xfId="0" applyFont="1" applyFill="1" applyBorder="1" applyAlignment="1">
      <alignment horizontal="center" vertical="top"/>
    </xf>
    <xf numFmtId="0" fontId="43" fillId="0" borderId="1" xfId="0" applyFont="1" applyBorder="1" applyAlignment="1">
      <alignment vertical="top"/>
    </xf>
    <xf numFmtId="0" fontId="50" fillId="2" borderId="1" xfId="0" applyFont="1" applyFill="1" applyBorder="1" applyAlignment="1">
      <alignment horizontal="center" vertical="top" wrapText="1"/>
    </xf>
    <xf numFmtId="0" fontId="51" fillId="2" borderId="2" xfId="0" applyFont="1" applyFill="1" applyBorder="1" applyAlignment="1">
      <alignment horizontal="left" vertical="top" wrapText="1"/>
    </xf>
    <xf numFmtId="188" fontId="51" fillId="2" borderId="1" xfId="1" applyNumberFormat="1" applyFont="1" applyFill="1" applyBorder="1" applyAlignment="1">
      <alignment horizontal="center" vertical="top" wrapText="1"/>
    </xf>
    <xf numFmtId="188" fontId="48" fillId="2" borderId="4" xfId="1" applyNumberFormat="1" applyFont="1" applyFill="1" applyBorder="1" applyAlignment="1">
      <alignment horizontal="center" vertical="top" wrapText="1"/>
    </xf>
    <xf numFmtId="188" fontId="53" fillId="2" borderId="1" xfId="1" applyNumberFormat="1" applyFont="1" applyFill="1" applyBorder="1" applyAlignment="1">
      <alignment horizontal="center" vertical="top" wrapText="1"/>
    </xf>
    <xf numFmtId="0" fontId="51" fillId="2" borderId="1" xfId="0" applyFont="1" applyFill="1" applyBorder="1" applyAlignment="1">
      <alignment horizontal="center" vertical="top" wrapText="1"/>
    </xf>
    <xf numFmtId="0" fontId="45" fillId="2" borderId="1" xfId="0" applyFont="1" applyFill="1" applyBorder="1" applyAlignment="1">
      <alignment vertical="top"/>
    </xf>
    <xf numFmtId="0" fontId="45" fillId="0" borderId="10" xfId="0" applyFont="1" applyBorder="1"/>
    <xf numFmtId="0" fontId="43" fillId="2" borderId="10" xfId="0" applyFont="1" applyFill="1" applyBorder="1" applyAlignment="1">
      <alignment horizontal="center" vertical="top"/>
    </xf>
    <xf numFmtId="0" fontId="43" fillId="0" borderId="10" xfId="0" applyFont="1" applyBorder="1" applyAlignment="1">
      <alignment vertical="top"/>
    </xf>
    <xf numFmtId="0" fontId="50" fillId="2" borderId="10" xfId="0" applyFont="1" applyFill="1" applyBorder="1" applyAlignment="1">
      <alignment horizontal="center" vertical="top" wrapText="1"/>
    </xf>
    <xf numFmtId="0" fontId="51" fillId="2" borderId="7" xfId="0" applyFont="1" applyFill="1" applyBorder="1" applyAlignment="1">
      <alignment horizontal="left" vertical="top" wrapText="1"/>
    </xf>
    <xf numFmtId="188" fontId="51" fillId="2" borderId="10" xfId="1" applyNumberFormat="1" applyFont="1" applyFill="1" applyBorder="1" applyAlignment="1">
      <alignment horizontal="center" vertical="top" wrapText="1"/>
    </xf>
    <xf numFmtId="188" fontId="54" fillId="2" borderId="9" xfId="1" applyNumberFormat="1" applyFont="1" applyFill="1" applyBorder="1" applyAlignment="1">
      <alignment horizontal="center" vertical="top" wrapText="1"/>
    </xf>
    <xf numFmtId="188" fontId="53" fillId="2" borderId="10" xfId="1" applyNumberFormat="1" applyFont="1" applyFill="1" applyBorder="1" applyAlignment="1">
      <alignment horizontal="center" vertical="top" wrapText="1"/>
    </xf>
    <xf numFmtId="0" fontId="51" fillId="2" borderId="10" xfId="0" applyFont="1" applyFill="1" applyBorder="1" applyAlignment="1">
      <alignment horizontal="center" vertical="top" wrapText="1"/>
    </xf>
    <xf numFmtId="0" fontId="45" fillId="2" borderId="10" xfId="0" applyFont="1" applyFill="1" applyBorder="1" applyAlignment="1">
      <alignment vertical="top"/>
    </xf>
    <xf numFmtId="0" fontId="45" fillId="0" borderId="5" xfId="0" applyFont="1" applyBorder="1"/>
    <xf numFmtId="0" fontId="45" fillId="0" borderId="11" xfId="0" applyFont="1" applyBorder="1"/>
    <xf numFmtId="0" fontId="50" fillId="2" borderId="1" xfId="0" applyFont="1" applyFill="1" applyBorder="1" applyAlignment="1">
      <alignment horizontal="left" vertical="top" wrapText="1"/>
    </xf>
    <xf numFmtId="0" fontId="50" fillId="2" borderId="1" xfId="0" applyFont="1" applyFill="1" applyBorder="1" applyAlignment="1">
      <alignment vertical="top" wrapText="1"/>
    </xf>
    <xf numFmtId="0" fontId="51" fillId="2" borderId="10" xfId="0" applyFont="1" applyFill="1" applyBorder="1" applyAlignment="1">
      <alignment horizontal="left" vertical="top" wrapText="1"/>
    </xf>
    <xf numFmtId="188" fontId="54" fillId="2" borderId="10" xfId="1" applyNumberFormat="1" applyFont="1" applyFill="1" applyBorder="1" applyAlignment="1">
      <alignment horizontal="center" vertical="top" wrapText="1"/>
    </xf>
    <xf numFmtId="0" fontId="43" fillId="2" borderId="5" xfId="0" applyFont="1" applyFill="1" applyBorder="1" applyAlignment="1">
      <alignment vertical="top"/>
    </xf>
    <xf numFmtId="0" fontId="50" fillId="2" borderId="5" xfId="0" applyFont="1" applyFill="1" applyBorder="1" applyAlignment="1">
      <alignment vertical="top" wrapText="1"/>
    </xf>
    <xf numFmtId="0" fontId="50" fillId="2" borderId="5" xfId="0" applyFont="1" applyFill="1" applyBorder="1" applyAlignment="1">
      <alignment horizontal="center" vertical="top" wrapText="1"/>
    </xf>
    <xf numFmtId="0" fontId="51" fillId="6" borderId="5" xfId="0" applyFont="1" applyFill="1" applyBorder="1" applyAlignment="1">
      <alignment horizontal="left" vertical="top" wrapText="1"/>
    </xf>
    <xf numFmtId="188" fontId="51" fillId="2" borderId="6" xfId="1" applyNumberFormat="1" applyFont="1" applyFill="1" applyBorder="1" applyAlignment="1">
      <alignment horizontal="center" vertical="top" wrapText="1"/>
    </xf>
    <xf numFmtId="188" fontId="54" fillId="2" borderId="5" xfId="1" applyNumberFormat="1" applyFont="1" applyFill="1" applyBorder="1" applyAlignment="1">
      <alignment horizontal="center" vertical="top" wrapText="1"/>
    </xf>
    <xf numFmtId="0" fontId="53" fillId="2" borderId="5" xfId="0" applyFont="1" applyFill="1" applyBorder="1" applyAlignment="1">
      <alignment horizontal="center" vertical="top" wrapText="1"/>
    </xf>
    <xf numFmtId="0" fontId="51" fillId="2" borderId="5" xfId="0" applyFont="1" applyFill="1" applyBorder="1" applyAlignment="1">
      <alignment horizontal="center" vertical="top" wrapText="1"/>
    </xf>
    <xf numFmtId="0" fontId="45" fillId="2" borderId="5" xfId="0" applyFont="1" applyFill="1" applyBorder="1" applyAlignment="1">
      <alignment vertical="top"/>
    </xf>
    <xf numFmtId="0" fontId="43" fillId="2" borderId="1" xfId="0" applyFont="1" applyFill="1" applyBorder="1" applyAlignment="1">
      <alignment vertical="top"/>
    </xf>
    <xf numFmtId="0" fontId="43" fillId="2" borderId="1" xfId="0" applyFont="1" applyFill="1" applyBorder="1" applyAlignment="1">
      <alignment horizontal="left" vertical="top" wrapText="1"/>
    </xf>
    <xf numFmtId="0" fontId="51" fillId="2" borderId="1" xfId="0" applyFont="1" applyFill="1" applyBorder="1" applyAlignment="1">
      <alignment horizontal="left" vertical="top" wrapText="1"/>
    </xf>
    <xf numFmtId="188" fontId="54" fillId="2" borderId="1" xfId="1" applyNumberFormat="1" applyFont="1" applyFill="1" applyBorder="1" applyAlignment="1">
      <alignment horizontal="center" vertical="top" wrapText="1"/>
    </xf>
    <xf numFmtId="188" fontId="52" fillId="2" borderId="1" xfId="1" applyNumberFormat="1" applyFont="1" applyFill="1" applyBorder="1" applyAlignment="1">
      <alignment vertical="top"/>
    </xf>
    <xf numFmtId="0" fontId="52" fillId="0" borderId="0" xfId="0" applyFont="1"/>
    <xf numFmtId="188" fontId="45" fillId="2" borderId="1" xfId="1" applyNumberFormat="1" applyFont="1" applyFill="1" applyBorder="1" applyAlignment="1">
      <alignment vertical="top"/>
    </xf>
    <xf numFmtId="0" fontId="45" fillId="0" borderId="6" xfId="0" applyFont="1" applyBorder="1"/>
    <xf numFmtId="0" fontId="45" fillId="0" borderId="34" xfId="0" applyFont="1" applyBorder="1"/>
    <xf numFmtId="0" fontId="43" fillId="2" borderId="6" xfId="0" applyFont="1" applyFill="1" applyBorder="1" applyAlignment="1">
      <alignment vertical="top"/>
    </xf>
    <xf numFmtId="0" fontId="43" fillId="2" borderId="6" xfId="0" applyFont="1" applyFill="1" applyBorder="1" applyAlignment="1">
      <alignment horizontal="left" vertical="top" wrapText="1"/>
    </xf>
    <xf numFmtId="0" fontId="50" fillId="2" borderId="6" xfId="0" applyFont="1" applyFill="1" applyBorder="1" applyAlignment="1">
      <alignment horizontal="left" vertical="top" wrapText="1"/>
    </xf>
    <xf numFmtId="0" fontId="50" fillId="2" borderId="6" xfId="0" applyFont="1" applyFill="1" applyBorder="1" applyAlignment="1">
      <alignment horizontal="center" vertical="top" wrapText="1"/>
    </xf>
    <xf numFmtId="0" fontId="43" fillId="2" borderId="6" xfId="0" applyFont="1" applyFill="1" applyBorder="1" applyAlignment="1">
      <alignment horizontal="center" vertical="top"/>
    </xf>
    <xf numFmtId="0" fontId="51" fillId="2" borderId="6" xfId="0" applyFont="1" applyFill="1" applyBorder="1" applyAlignment="1">
      <alignment horizontal="left" vertical="top" wrapText="1"/>
    </xf>
    <xf numFmtId="188" fontId="54" fillId="2" borderId="6" xfId="1" applyNumberFormat="1" applyFont="1" applyFill="1" applyBorder="1" applyAlignment="1">
      <alignment horizontal="center" vertical="top" wrapText="1"/>
    </xf>
    <xf numFmtId="188" fontId="52" fillId="2" borderId="6" xfId="1" applyNumberFormat="1" applyFont="1" applyFill="1" applyBorder="1" applyAlignment="1">
      <alignment vertical="top"/>
    </xf>
    <xf numFmtId="188" fontId="45" fillId="2" borderId="6" xfId="1" applyNumberFormat="1" applyFont="1" applyFill="1" applyBorder="1" applyAlignment="1">
      <alignment vertical="top"/>
    </xf>
    <xf numFmtId="0" fontId="45" fillId="2" borderId="6" xfId="0" applyFont="1" applyFill="1" applyBorder="1" applyAlignment="1">
      <alignment vertical="top"/>
    </xf>
    <xf numFmtId="0" fontId="43" fillId="2" borderId="10" xfId="0" applyFont="1" applyFill="1" applyBorder="1" applyAlignment="1">
      <alignment vertical="top"/>
    </xf>
    <xf numFmtId="0" fontId="43" fillId="2" borderId="10" xfId="0" applyFont="1" applyFill="1" applyBorder="1" applyAlignment="1">
      <alignment horizontal="left" vertical="top" wrapText="1"/>
    </xf>
    <xf numFmtId="0" fontId="50" fillId="2" borderId="10" xfId="0" applyFont="1" applyFill="1" applyBorder="1" applyAlignment="1">
      <alignment horizontal="left" vertical="top" wrapText="1"/>
    </xf>
    <xf numFmtId="0" fontId="43" fillId="0" borderId="8" xfId="0" applyFont="1" applyBorder="1"/>
    <xf numFmtId="188" fontId="52" fillId="2" borderId="10" xfId="1" applyNumberFormat="1" applyFont="1" applyFill="1" applyBorder="1" applyAlignment="1">
      <alignment vertical="top"/>
    </xf>
    <xf numFmtId="0" fontId="52" fillId="0" borderId="8" xfId="0" applyFont="1" applyBorder="1"/>
    <xf numFmtId="188" fontId="45" fillId="2" borderId="10" xfId="1" applyNumberFormat="1" applyFont="1" applyFill="1" applyBorder="1" applyAlignment="1">
      <alignment vertical="top"/>
    </xf>
    <xf numFmtId="0" fontId="43" fillId="0" borderId="5" xfId="0" applyFont="1" applyBorder="1" applyAlignment="1">
      <alignment horizontal="center" vertical="top"/>
    </xf>
    <xf numFmtId="0" fontId="50" fillId="0" borderId="5" xfId="0" applyFont="1" applyBorder="1" applyAlignment="1">
      <alignment horizontal="left" vertical="top" wrapText="1"/>
    </xf>
    <xf numFmtId="0" fontId="43" fillId="0" borderId="5" xfId="0" applyFont="1" applyBorder="1" applyAlignment="1">
      <alignment vertical="top"/>
    </xf>
    <xf numFmtId="0" fontId="50" fillId="0" borderId="5" xfId="0" applyFont="1" applyBorder="1" applyAlignment="1">
      <alignment horizontal="center" vertical="center" wrapText="1"/>
    </xf>
    <xf numFmtId="0" fontId="50" fillId="0" borderId="5" xfId="0" applyFont="1" applyBorder="1" applyAlignment="1">
      <alignment horizontal="center" vertical="top" wrapText="1"/>
    </xf>
    <xf numFmtId="0" fontId="51" fillId="0" borderId="5" xfId="0" applyFont="1" applyBorder="1" applyAlignment="1">
      <alignment horizontal="left" vertical="top" wrapText="1"/>
    </xf>
    <xf numFmtId="188" fontId="51" fillId="0" borderId="5" xfId="1" applyNumberFormat="1" applyFont="1" applyFill="1" applyBorder="1" applyAlignment="1">
      <alignment horizontal="center" vertical="center" wrapText="1"/>
    </xf>
    <xf numFmtId="188" fontId="53" fillId="0" borderId="5" xfId="1" applyNumberFormat="1" applyFont="1" applyFill="1" applyBorder="1" applyAlignment="1">
      <alignment horizontal="center" vertical="center" wrapText="1"/>
    </xf>
    <xf numFmtId="188" fontId="53" fillId="2" borderId="5" xfId="1" applyNumberFormat="1" applyFont="1" applyFill="1" applyBorder="1" applyAlignment="1">
      <alignment horizontal="center" vertical="center" wrapText="1"/>
    </xf>
    <xf numFmtId="188" fontId="53" fillId="2" borderId="5" xfId="1" applyNumberFormat="1" applyFont="1" applyFill="1" applyBorder="1" applyAlignment="1">
      <alignment horizontal="center" vertical="top" wrapText="1"/>
    </xf>
    <xf numFmtId="188" fontId="51" fillId="2" borderId="5" xfId="1" applyNumberFormat="1" applyFont="1" applyFill="1" applyBorder="1" applyAlignment="1">
      <alignment horizontal="center" vertical="top" wrapText="1"/>
    </xf>
    <xf numFmtId="188" fontId="50" fillId="2" borderId="5" xfId="1" applyNumberFormat="1" applyFont="1" applyFill="1" applyBorder="1" applyAlignment="1">
      <alignment horizontal="center" vertical="center" wrapText="1"/>
    </xf>
    <xf numFmtId="188" fontId="50" fillId="0" borderId="5" xfId="1" applyNumberFormat="1" applyFont="1" applyFill="1" applyBorder="1" applyAlignment="1">
      <alignment horizontal="center" vertical="center" wrapText="1"/>
    </xf>
    <xf numFmtId="0" fontId="43" fillId="0" borderId="10" xfId="0" applyFont="1" applyBorder="1" applyAlignment="1">
      <alignment horizontal="center" vertical="top"/>
    </xf>
    <xf numFmtId="0" fontId="50" fillId="0" borderId="10" xfId="0" applyFont="1" applyBorder="1" applyAlignment="1">
      <alignment horizontal="left" vertical="top" wrapText="1"/>
    </xf>
    <xf numFmtId="0" fontId="50" fillId="0" borderId="10" xfId="0" applyFont="1" applyBorder="1" applyAlignment="1">
      <alignment horizontal="center" vertical="center" wrapText="1"/>
    </xf>
    <xf numFmtId="0" fontId="50" fillId="0" borderId="10" xfId="0" applyFont="1" applyBorder="1" applyAlignment="1">
      <alignment horizontal="center" vertical="top" wrapText="1"/>
    </xf>
    <xf numFmtId="0" fontId="51" fillId="0" borderId="10" xfId="0" applyFont="1" applyBorder="1" applyAlignment="1">
      <alignment horizontal="left" vertical="top" wrapText="1"/>
    </xf>
    <xf numFmtId="188" fontId="53" fillId="0" borderId="10" xfId="1" applyNumberFormat="1" applyFont="1" applyFill="1" applyBorder="1" applyAlignment="1">
      <alignment horizontal="center" vertical="center" wrapText="1"/>
    </xf>
    <xf numFmtId="188" fontId="50" fillId="2" borderId="10" xfId="1" applyNumberFormat="1" applyFont="1" applyFill="1" applyBorder="1" applyAlignment="1">
      <alignment horizontal="center" vertical="center" wrapText="1"/>
    </xf>
    <xf numFmtId="188" fontId="53" fillId="2" borderId="10" xfId="1" applyNumberFormat="1" applyFont="1" applyFill="1" applyBorder="1" applyAlignment="1">
      <alignment horizontal="center" vertical="center" wrapText="1"/>
    </xf>
    <xf numFmtId="0" fontId="43" fillId="0" borderId="1" xfId="0" applyFont="1" applyBorder="1" applyAlignment="1">
      <alignment horizontal="center" vertical="top"/>
    </xf>
    <xf numFmtId="0" fontId="50" fillId="0" borderId="1" xfId="0" applyFont="1" applyBorder="1" applyAlignment="1">
      <alignment horizontal="left" vertical="top" wrapText="1"/>
    </xf>
    <xf numFmtId="0" fontId="50" fillId="0" borderId="1" xfId="0" applyFont="1" applyBorder="1" applyAlignment="1">
      <alignment horizontal="center" vertical="center" wrapText="1"/>
    </xf>
    <xf numFmtId="0" fontId="50" fillId="0" borderId="1" xfId="0" applyFont="1" applyBorder="1" applyAlignment="1">
      <alignment horizontal="center" vertical="top" wrapText="1"/>
    </xf>
    <xf numFmtId="0" fontId="51" fillId="0" borderId="1" xfId="0" applyFont="1" applyBorder="1" applyAlignment="1">
      <alignment horizontal="left" vertical="top" wrapText="1"/>
    </xf>
    <xf numFmtId="188" fontId="51" fillId="0" borderId="1" xfId="1" applyNumberFormat="1" applyFont="1" applyFill="1" applyBorder="1" applyAlignment="1">
      <alignment horizontal="center" vertical="center" wrapText="1"/>
    </xf>
    <xf numFmtId="188" fontId="50" fillId="0" borderId="1" xfId="1" applyNumberFormat="1" applyFont="1" applyFill="1" applyBorder="1" applyAlignment="1">
      <alignment horizontal="center" vertical="center" wrapText="1"/>
    </xf>
    <xf numFmtId="188" fontId="53" fillId="0" borderId="1" xfId="1" applyNumberFormat="1" applyFont="1" applyFill="1" applyBorder="1" applyAlignment="1">
      <alignment horizontal="center" vertical="center" wrapText="1"/>
    </xf>
    <xf numFmtId="188" fontId="50" fillId="2" borderId="1" xfId="1" applyNumberFormat="1" applyFont="1" applyFill="1" applyBorder="1" applyAlignment="1">
      <alignment horizontal="center" vertical="center" wrapText="1"/>
    </xf>
    <xf numFmtId="188" fontId="51" fillId="2" borderId="5" xfId="1" applyNumberFormat="1" applyFont="1" applyFill="1" applyBorder="1" applyAlignment="1">
      <alignment horizontal="center" vertical="center" wrapText="1"/>
    </xf>
    <xf numFmtId="0" fontId="50" fillId="0" borderId="5" xfId="0" applyFont="1" applyBorder="1" applyAlignment="1">
      <alignment vertical="top" wrapText="1"/>
    </xf>
    <xf numFmtId="0" fontId="49" fillId="0" borderId="1" xfId="0" applyFont="1" applyBorder="1" applyAlignment="1">
      <alignment horizontal="center" vertical="top"/>
    </xf>
    <xf numFmtId="0" fontId="43" fillId="0" borderId="1" xfId="0" applyFont="1" applyBorder="1" applyAlignment="1">
      <alignment horizontal="left" vertical="top" wrapText="1"/>
    </xf>
    <xf numFmtId="188" fontId="51" fillId="2" borderId="1" xfId="1" applyNumberFormat="1" applyFont="1" applyFill="1" applyBorder="1" applyAlignment="1">
      <alignment horizontal="center" vertical="center" wrapText="1"/>
    </xf>
    <xf numFmtId="0" fontId="49" fillId="0" borderId="10" xfId="0" applyFont="1" applyBorder="1" applyAlignment="1">
      <alignment horizontal="center" vertical="top"/>
    </xf>
    <xf numFmtId="0" fontId="43" fillId="0" borderId="10" xfId="0" applyFont="1" applyBorder="1" applyAlignment="1">
      <alignment horizontal="left" vertical="top" wrapText="1"/>
    </xf>
    <xf numFmtId="0" fontId="49" fillId="0" borderId="5" xfId="0" applyFont="1" applyBorder="1" applyAlignment="1">
      <alignment horizontal="center" vertical="top"/>
    </xf>
    <xf numFmtId="188" fontId="53" fillId="2" borderId="1" xfId="1" applyNumberFormat="1" applyFont="1" applyFill="1" applyBorder="1" applyAlignment="1">
      <alignment horizontal="center" vertical="center" wrapText="1"/>
    </xf>
    <xf numFmtId="0" fontId="49" fillId="0" borderId="6" xfId="0" applyFont="1" applyBorder="1" applyAlignment="1">
      <alignment horizontal="center" vertical="top"/>
    </xf>
    <xf numFmtId="0" fontId="43" fillId="0" borderId="6" xfId="0" applyFont="1" applyBorder="1" applyAlignment="1">
      <alignment horizontal="left" vertical="top" wrapText="1"/>
    </xf>
    <xf numFmtId="0" fontId="43" fillId="0" borderId="6" xfId="0" applyFont="1" applyBorder="1" applyAlignment="1">
      <alignment vertical="top"/>
    </xf>
    <xf numFmtId="0" fontId="50" fillId="0" borderId="6" xfId="0" applyFont="1" applyBorder="1" applyAlignment="1">
      <alignment horizontal="left" vertical="top" wrapText="1"/>
    </xf>
    <xf numFmtId="0" fontId="50" fillId="0" borderId="6" xfId="0" applyFont="1" applyBorder="1" applyAlignment="1">
      <alignment horizontal="center" vertical="center" wrapText="1"/>
    </xf>
    <xf numFmtId="0" fontId="50" fillId="0" borderId="6" xfId="0" applyFont="1" applyBorder="1" applyAlignment="1">
      <alignment horizontal="center" vertical="top" wrapText="1"/>
    </xf>
    <xf numFmtId="0" fontId="51" fillId="0" borderId="6" xfId="0" applyFont="1" applyBorder="1" applyAlignment="1">
      <alignment horizontal="left" vertical="top" wrapText="1"/>
    </xf>
    <xf numFmtId="188" fontId="50" fillId="0" borderId="6" xfId="1" applyNumberFormat="1" applyFont="1" applyFill="1" applyBorder="1" applyAlignment="1">
      <alignment horizontal="center" vertical="center" wrapText="1"/>
    </xf>
    <xf numFmtId="188" fontId="50" fillId="2" borderId="6" xfId="1" applyNumberFormat="1" applyFont="1" applyFill="1" applyBorder="1" applyAlignment="1">
      <alignment horizontal="center" vertical="center" wrapText="1"/>
    </xf>
    <xf numFmtId="188" fontId="53" fillId="2" borderId="6" xfId="1" applyNumberFormat="1" applyFont="1" applyFill="1" applyBorder="1" applyAlignment="1">
      <alignment horizontal="center" vertical="top" wrapText="1"/>
    </xf>
    <xf numFmtId="0" fontId="51" fillId="2" borderId="6" xfId="0" applyFont="1" applyFill="1" applyBorder="1" applyAlignment="1">
      <alignment horizontal="center" vertical="top" wrapText="1"/>
    </xf>
    <xf numFmtId="188" fontId="50" fillId="2" borderId="1" xfId="1" applyNumberFormat="1" applyFont="1" applyFill="1" applyBorder="1" applyAlignment="1">
      <alignment horizontal="center" vertical="top" wrapText="1"/>
    </xf>
    <xf numFmtId="188" fontId="50" fillId="2" borderId="6" xfId="1" applyNumberFormat="1" applyFont="1" applyFill="1" applyBorder="1" applyAlignment="1">
      <alignment horizontal="center" vertical="top" wrapText="1"/>
    </xf>
    <xf numFmtId="0" fontId="43" fillId="0" borderId="5" xfId="0" applyFont="1" applyBorder="1" applyAlignment="1">
      <alignment horizontal="left" vertical="top" wrapText="1"/>
    </xf>
    <xf numFmtId="188" fontId="50" fillId="0" borderId="10" xfId="1" applyNumberFormat="1" applyFont="1" applyFill="1" applyBorder="1" applyAlignment="1">
      <alignment horizontal="center" vertical="center" wrapText="1"/>
    </xf>
    <xf numFmtId="0" fontId="0" fillId="2" borderId="10" xfId="0" applyFill="1" applyBorder="1"/>
    <xf numFmtId="188" fontId="50" fillId="2" borderId="10" xfId="1" applyNumberFormat="1" applyFont="1" applyFill="1" applyBorder="1" applyAlignment="1">
      <alignment horizontal="center" vertical="top" wrapText="1"/>
    </xf>
    <xf numFmtId="188" fontId="53" fillId="0" borderId="5" xfId="1" applyNumberFormat="1" applyFont="1" applyFill="1" applyBorder="1" applyAlignment="1">
      <alignment horizontal="center" vertical="top" wrapText="1"/>
    </xf>
    <xf numFmtId="49" fontId="51" fillId="0" borderId="5" xfId="0" applyNumberFormat="1" applyFont="1" applyBorder="1" applyAlignment="1">
      <alignment horizontal="left" vertical="top" wrapText="1"/>
    </xf>
    <xf numFmtId="0" fontId="45" fillId="0" borderId="4" xfId="0" applyFont="1" applyBorder="1"/>
    <xf numFmtId="0" fontId="43" fillId="0" borderId="4" xfId="0" applyFont="1" applyBorder="1" applyAlignment="1">
      <alignment vertical="top"/>
    </xf>
    <xf numFmtId="49" fontId="51" fillId="0" borderId="1" xfId="0" applyNumberFormat="1" applyFont="1" applyBorder="1" applyAlignment="1">
      <alignment horizontal="left" vertical="top" wrapText="1"/>
    </xf>
    <xf numFmtId="188" fontId="53" fillId="0" borderId="1" xfId="1" applyNumberFormat="1" applyFont="1" applyFill="1" applyBorder="1" applyAlignment="1">
      <alignment horizontal="center" vertical="top" wrapText="1"/>
    </xf>
    <xf numFmtId="0" fontId="45" fillId="0" borderId="35" xfId="0" applyFont="1" applyBorder="1"/>
    <xf numFmtId="0" fontId="43" fillId="0" borderId="35" xfId="0" applyFont="1" applyBorder="1" applyAlignment="1">
      <alignment vertical="top"/>
    </xf>
    <xf numFmtId="49" fontId="51" fillId="0" borderId="6" xfId="0" applyNumberFormat="1" applyFont="1" applyBorder="1" applyAlignment="1">
      <alignment horizontal="left" vertical="top" wrapText="1"/>
    </xf>
    <xf numFmtId="188" fontId="53" fillId="0" borderId="6" xfId="1" applyNumberFormat="1" applyFont="1" applyFill="1" applyBorder="1" applyAlignment="1">
      <alignment horizontal="center" vertical="top" wrapText="1"/>
    </xf>
    <xf numFmtId="188" fontId="53" fillId="2" borderId="6" xfId="1" applyNumberFormat="1" applyFont="1" applyFill="1" applyBorder="1" applyAlignment="1">
      <alignment horizontal="center" vertical="center" wrapText="1"/>
    </xf>
    <xf numFmtId="49" fontId="51" fillId="0" borderId="10" xfId="0" applyNumberFormat="1" applyFont="1" applyBorder="1" applyAlignment="1">
      <alignment horizontal="left" vertical="top" wrapText="1"/>
    </xf>
    <xf numFmtId="188" fontId="50" fillId="0" borderId="6" xfId="1" applyNumberFormat="1" applyFont="1" applyFill="1" applyBorder="1" applyAlignment="1">
      <alignment horizontal="center" vertical="top" wrapText="1"/>
    </xf>
    <xf numFmtId="0" fontId="45" fillId="0" borderId="9" xfId="0" applyFont="1" applyBorder="1"/>
    <xf numFmtId="0" fontId="43" fillId="0" borderId="9" xfId="0" applyFont="1" applyBorder="1" applyAlignment="1">
      <alignment vertical="top"/>
    </xf>
    <xf numFmtId="188" fontId="53" fillId="0" borderId="10" xfId="1" applyNumberFormat="1" applyFont="1" applyFill="1" applyBorder="1" applyAlignment="1">
      <alignment horizontal="center" vertical="top" wrapText="1"/>
    </xf>
    <xf numFmtId="188" fontId="51" fillId="2" borderId="10" xfId="1" applyNumberFormat="1" applyFont="1" applyFill="1" applyBorder="1" applyAlignment="1">
      <alignment horizontal="center" vertical="center" wrapText="1"/>
    </xf>
    <xf numFmtId="188" fontId="51" fillId="2" borderId="6" xfId="1" applyNumberFormat="1" applyFont="1" applyFill="1" applyBorder="1" applyAlignment="1">
      <alignment horizontal="center" vertical="center" wrapText="1"/>
    </xf>
    <xf numFmtId="0" fontId="0" fillId="0" borderId="1" xfId="0" applyBorder="1"/>
    <xf numFmtId="0" fontId="45" fillId="2" borderId="10" xfId="0" applyFont="1" applyFill="1" applyBorder="1" applyAlignment="1">
      <alignment horizontal="left" vertical="top" wrapText="1"/>
    </xf>
    <xf numFmtId="0" fontId="58" fillId="0" borderId="10" xfId="0" applyFont="1" applyBorder="1" applyAlignment="1">
      <alignment horizontal="center" vertical="top"/>
    </xf>
    <xf numFmtId="188" fontId="52" fillId="2" borderId="10" xfId="1" applyNumberFormat="1" applyFont="1" applyFill="1" applyBorder="1" applyAlignment="1">
      <alignment horizontal="left" vertical="top" wrapText="1"/>
    </xf>
    <xf numFmtId="188" fontId="52" fillId="0" borderId="10" xfId="1" applyNumberFormat="1" applyFont="1" applyBorder="1" applyAlignment="1">
      <alignment horizontal="center" vertical="top"/>
    </xf>
    <xf numFmtId="0" fontId="52" fillId="0" borderId="10" xfId="0" applyFont="1" applyBorder="1" applyAlignment="1">
      <alignment horizontal="center" vertical="top"/>
    </xf>
    <xf numFmtId="0" fontId="0" fillId="0" borderId="10" xfId="0" applyBorder="1"/>
    <xf numFmtId="0" fontId="58" fillId="0" borderId="5" xfId="0" applyFont="1" applyBorder="1" applyAlignment="1">
      <alignment horizontal="center" vertical="top"/>
    </xf>
    <xf numFmtId="188" fontId="52" fillId="0" borderId="5" xfId="1" applyNumberFormat="1" applyFont="1" applyBorder="1" applyAlignment="1">
      <alignment horizontal="center" vertical="top"/>
    </xf>
    <xf numFmtId="0" fontId="52" fillId="0" borderId="5" xfId="0" applyFont="1" applyBorder="1" applyAlignment="1">
      <alignment horizontal="center" vertical="top"/>
    </xf>
    <xf numFmtId="0" fontId="0" fillId="0" borderId="5" xfId="0" applyBorder="1"/>
    <xf numFmtId="0" fontId="55" fillId="0" borderId="6" xfId="0" applyFont="1" applyBorder="1" applyAlignment="1">
      <alignment horizontal="center" vertical="top"/>
    </xf>
    <xf numFmtId="0" fontId="43" fillId="2" borderId="10" xfId="0" applyFont="1" applyFill="1" applyBorder="1" applyAlignment="1">
      <alignment vertical="top" wrapText="1"/>
    </xf>
    <xf numFmtId="0" fontId="43" fillId="2" borderId="8" xfId="0" applyFont="1" applyFill="1" applyBorder="1" applyAlignment="1">
      <alignment horizontal="center" vertical="top" wrapText="1"/>
    </xf>
    <xf numFmtId="0" fontId="43" fillId="2" borderId="10" xfId="0" applyFont="1" applyFill="1" applyBorder="1" applyAlignment="1">
      <alignment horizontal="center" vertical="top" wrapText="1"/>
    </xf>
    <xf numFmtId="0" fontId="45" fillId="2" borderId="8" xfId="0" applyFont="1" applyFill="1" applyBorder="1" applyAlignment="1">
      <alignment horizontal="left" vertical="top" wrapText="1"/>
    </xf>
    <xf numFmtId="0" fontId="51" fillId="2" borderId="8" xfId="0" applyFont="1" applyFill="1" applyBorder="1" applyAlignment="1">
      <alignment horizontal="center" vertical="top" wrapText="1"/>
    </xf>
    <xf numFmtId="0" fontId="43" fillId="2" borderId="6" xfId="0" applyFont="1" applyFill="1" applyBorder="1" applyAlignment="1">
      <alignment vertical="top" wrapText="1"/>
    </xf>
    <xf numFmtId="0" fontId="45" fillId="2" borderId="0" xfId="0" applyFont="1" applyFill="1" applyAlignment="1">
      <alignment horizontal="left" vertical="top" wrapText="1"/>
    </xf>
    <xf numFmtId="0" fontId="58" fillId="0" borderId="1" xfId="0" applyFont="1" applyBorder="1" applyAlignment="1">
      <alignment horizontal="center" vertical="top"/>
    </xf>
    <xf numFmtId="188" fontId="52" fillId="2" borderId="6" xfId="1" applyNumberFormat="1" applyFont="1" applyFill="1" applyBorder="1" applyAlignment="1">
      <alignment horizontal="left" vertical="top" wrapText="1"/>
    </xf>
    <xf numFmtId="0" fontId="52" fillId="0" borderId="1" xfId="0" applyFont="1" applyBorder="1" applyAlignment="1">
      <alignment horizontal="center" vertical="top"/>
    </xf>
    <xf numFmtId="0" fontId="51" fillId="2" borderId="0" xfId="0" applyFont="1" applyFill="1" applyAlignment="1">
      <alignment horizontal="center" vertical="top" wrapText="1"/>
    </xf>
    <xf numFmtId="0" fontId="60" fillId="0" borderId="0" xfId="0" applyFont="1"/>
    <xf numFmtId="0" fontId="60" fillId="0" borderId="5" xfId="0" applyFont="1" applyBorder="1"/>
    <xf numFmtId="0" fontId="25" fillId="2" borderId="5" xfId="0" applyFont="1" applyFill="1" applyBorder="1" applyAlignment="1">
      <alignment horizontal="center" vertical="top"/>
    </xf>
    <xf numFmtId="0" fontId="48" fillId="2" borderId="5" xfId="0" applyFont="1" applyFill="1" applyBorder="1" applyAlignment="1">
      <alignment horizontal="left" vertical="top" wrapText="1"/>
    </xf>
    <xf numFmtId="0" fontId="47" fillId="2" borderId="5" xfId="0" applyFont="1" applyFill="1" applyBorder="1" applyAlignment="1">
      <alignment horizontal="left" vertical="top" wrapText="1"/>
    </xf>
    <xf numFmtId="0" fontId="47" fillId="2" borderId="5" xfId="0" applyFont="1" applyFill="1" applyBorder="1" applyAlignment="1">
      <alignment vertical="top" wrapText="1"/>
    </xf>
    <xf numFmtId="0" fontId="47" fillId="2" borderId="5" xfId="0" applyFont="1" applyFill="1" applyBorder="1" applyAlignment="1">
      <alignment horizontal="center" vertical="top" wrapText="1"/>
    </xf>
    <xf numFmtId="43" fontId="47" fillId="2" borderId="5" xfId="1" applyFont="1" applyFill="1" applyBorder="1" applyAlignment="1">
      <alignment horizontal="center" vertical="top" wrapText="1"/>
    </xf>
    <xf numFmtId="188" fontId="27" fillId="2" borderId="5" xfId="1" applyNumberFormat="1" applyFont="1" applyFill="1" applyBorder="1" applyAlignment="1">
      <alignment horizontal="center" vertical="top" wrapText="1"/>
    </xf>
    <xf numFmtId="188" fontId="47" fillId="2" borderId="5" xfId="1" applyNumberFormat="1" applyFont="1" applyFill="1" applyBorder="1" applyAlignment="1">
      <alignment horizontal="center" vertical="top" wrapText="1"/>
    </xf>
    <xf numFmtId="0" fontId="48" fillId="2" borderId="5" xfId="0" applyFont="1" applyFill="1" applyBorder="1" applyAlignment="1">
      <alignment horizontal="center" vertical="top" wrapText="1"/>
    </xf>
    <xf numFmtId="0" fontId="46" fillId="2" borderId="5" xfId="0" applyFont="1" applyFill="1" applyBorder="1" applyAlignment="1">
      <alignment vertical="top"/>
    </xf>
    <xf numFmtId="0" fontId="28" fillId="2" borderId="5" xfId="0" applyFont="1" applyFill="1" applyBorder="1" applyAlignment="1">
      <alignment horizontal="center" vertical="top"/>
    </xf>
    <xf numFmtId="0" fontId="59" fillId="2" borderId="5" xfId="0" applyFont="1" applyFill="1" applyBorder="1" applyAlignment="1">
      <alignment vertical="top" wrapText="1"/>
    </xf>
    <xf numFmtId="0" fontId="46" fillId="2" borderId="5" xfId="0" applyFont="1" applyFill="1" applyBorder="1" applyAlignment="1">
      <alignment vertical="top" wrapText="1"/>
    </xf>
    <xf numFmtId="43" fontId="46" fillId="2" borderId="5" xfId="1" applyFont="1" applyFill="1" applyBorder="1" applyAlignment="1">
      <alignment vertical="top"/>
    </xf>
    <xf numFmtId="188" fontId="59" fillId="2" borderId="5" xfId="1" applyNumberFormat="1" applyFont="1" applyFill="1" applyBorder="1" applyAlignment="1">
      <alignment horizontal="center" vertical="top" wrapText="1"/>
    </xf>
    <xf numFmtId="188" fontId="46" fillId="2" borderId="5" xfId="1" applyNumberFormat="1" applyFont="1" applyFill="1" applyBorder="1" applyAlignment="1">
      <alignment horizontal="center" vertical="top" wrapText="1"/>
    </xf>
    <xf numFmtId="188" fontId="59" fillId="2" borderId="5" xfId="1" applyNumberFormat="1" applyFont="1" applyFill="1" applyBorder="1" applyAlignment="1">
      <alignment vertical="top" wrapText="1"/>
    </xf>
    <xf numFmtId="43" fontId="46" fillId="2" borderId="5" xfId="1" applyFont="1" applyFill="1" applyBorder="1" applyAlignment="1">
      <alignment vertical="top" wrapText="1"/>
    </xf>
    <xf numFmtId="188" fontId="46" fillId="2" borderId="5" xfId="1" applyNumberFormat="1" applyFont="1" applyFill="1" applyBorder="1" applyAlignment="1">
      <alignment vertical="top"/>
    </xf>
    <xf numFmtId="188" fontId="46" fillId="2" borderId="5" xfId="1" applyNumberFormat="1" applyFont="1" applyFill="1" applyBorder="1" applyAlignment="1">
      <alignment vertical="top" wrapText="1"/>
    </xf>
    <xf numFmtId="0" fontId="46" fillId="2" borderId="5" xfId="0" applyFont="1" applyFill="1" applyBorder="1" applyAlignment="1">
      <alignment horizontal="center" vertical="top" wrapText="1"/>
    </xf>
    <xf numFmtId="0" fontId="59" fillId="2" borderId="5" xfId="0" applyFont="1" applyFill="1" applyBorder="1" applyAlignment="1">
      <alignment horizontal="left" vertical="top" wrapText="1"/>
    </xf>
    <xf numFmtId="43" fontId="46" fillId="2" borderId="6" xfId="1" applyFont="1" applyFill="1" applyBorder="1" applyAlignment="1">
      <alignment vertical="top" wrapText="1"/>
    </xf>
    <xf numFmtId="188" fontId="28" fillId="2" borderId="5" xfId="1" applyNumberFormat="1" applyFont="1" applyFill="1" applyBorder="1" applyAlignment="1">
      <alignment vertical="top"/>
    </xf>
    <xf numFmtId="0" fontId="45" fillId="6" borderId="11" xfId="0" applyFont="1" applyFill="1" applyBorder="1"/>
    <xf numFmtId="0" fontId="45" fillId="6" borderId="12" xfId="0" applyFont="1" applyFill="1" applyBorder="1"/>
    <xf numFmtId="0" fontId="43" fillId="6" borderId="11" xfId="0" applyFont="1" applyFill="1" applyBorder="1" applyAlignment="1">
      <alignment vertical="top"/>
    </xf>
    <xf numFmtId="0" fontId="43" fillId="6" borderId="12" xfId="0" applyFont="1" applyFill="1" applyBorder="1" applyAlignment="1">
      <alignment vertical="top" wrapText="1"/>
    </xf>
    <xf numFmtId="0" fontId="43" fillId="6" borderId="12" xfId="0" applyFont="1" applyFill="1" applyBorder="1" applyAlignment="1">
      <alignment vertical="top"/>
    </xf>
    <xf numFmtId="0" fontId="50" fillId="6" borderId="12" xfId="0" applyFont="1" applyFill="1" applyBorder="1" applyAlignment="1">
      <alignment horizontal="center" vertical="top" wrapText="1"/>
    </xf>
    <xf numFmtId="0" fontId="2" fillId="6" borderId="12" xfId="0" applyFont="1" applyFill="1" applyBorder="1" applyAlignment="1">
      <alignment horizontal="center" vertical="top"/>
    </xf>
    <xf numFmtId="188" fontId="51" fillId="6" borderId="13" xfId="1" applyNumberFormat="1" applyFont="1" applyFill="1" applyBorder="1" applyAlignment="1">
      <alignment horizontal="center" vertical="top" wrapText="1"/>
    </xf>
    <xf numFmtId="188" fontId="61" fillId="6" borderId="13" xfId="1" applyNumberFormat="1" applyFont="1" applyFill="1" applyBorder="1" applyAlignment="1">
      <alignment horizontal="center" vertical="top" wrapText="1"/>
    </xf>
    <xf numFmtId="188" fontId="52" fillId="6" borderId="5" xfId="1" applyNumberFormat="1" applyFont="1" applyFill="1" applyBorder="1" applyAlignment="1">
      <alignment vertical="top"/>
    </xf>
    <xf numFmtId="188" fontId="45" fillId="6" borderId="5" xfId="1" applyNumberFormat="1" applyFont="1" applyFill="1" applyBorder="1" applyAlignment="1">
      <alignment vertical="top"/>
    </xf>
    <xf numFmtId="0" fontId="45" fillId="6" borderId="5" xfId="0" applyFont="1" applyFill="1" applyBorder="1" applyAlignment="1">
      <alignment vertical="top"/>
    </xf>
    <xf numFmtId="0" fontId="45" fillId="6" borderId="5" xfId="0" applyFont="1" applyFill="1" applyBorder="1" applyAlignment="1">
      <alignment horizontal="center" vertical="center"/>
    </xf>
    <xf numFmtId="0" fontId="45" fillId="6" borderId="5" xfId="0" applyFont="1" applyFill="1" applyBorder="1" applyAlignment="1">
      <alignment vertical="center"/>
    </xf>
    <xf numFmtId="0" fontId="45" fillId="6" borderId="11" xfId="0" applyFont="1" applyFill="1" applyBorder="1" applyAlignment="1">
      <alignment wrapText="1"/>
    </xf>
    <xf numFmtId="0" fontId="49" fillId="6" borderId="5" xfId="0" applyFont="1" applyFill="1" applyBorder="1" applyAlignment="1">
      <alignment horizontal="center" vertical="top"/>
    </xf>
    <xf numFmtId="0" fontId="43" fillId="6" borderId="5" xfId="0" applyFont="1" applyFill="1" applyBorder="1" applyAlignment="1">
      <alignment horizontal="left" vertical="top"/>
    </xf>
    <xf numFmtId="0" fontId="43" fillId="6" borderId="5" xfId="0" applyFont="1" applyFill="1" applyBorder="1" applyAlignment="1">
      <alignment vertical="top"/>
    </xf>
    <xf numFmtId="0" fontId="50" fillId="6" borderId="5" xfId="0" applyFont="1" applyFill="1" applyBorder="1" applyAlignment="1">
      <alignment vertical="top" wrapText="1"/>
    </xf>
    <xf numFmtId="0" fontId="43" fillId="6" borderId="0" xfId="0" applyFont="1" applyFill="1"/>
    <xf numFmtId="0" fontId="50" fillId="6" borderId="5" xfId="0" applyFont="1" applyFill="1" applyBorder="1" applyAlignment="1">
      <alignment horizontal="center" vertical="top" wrapText="1"/>
    </xf>
    <xf numFmtId="0" fontId="45" fillId="6" borderId="0" xfId="0" applyFont="1" applyFill="1"/>
    <xf numFmtId="188" fontId="51" fillId="6" borderId="1" xfId="1" applyNumberFormat="1" applyFont="1" applyFill="1" applyBorder="1" applyAlignment="1">
      <alignment horizontal="center" vertical="top" wrapText="1"/>
    </xf>
    <xf numFmtId="188" fontId="45" fillId="6" borderId="10" xfId="1" applyNumberFormat="1" applyFont="1" applyFill="1" applyBorder="1" applyAlignment="1">
      <alignment vertical="top"/>
    </xf>
    <xf numFmtId="188" fontId="52" fillId="6" borderId="10" xfId="1" applyNumberFormat="1" applyFont="1" applyFill="1" applyBorder="1" applyAlignment="1">
      <alignment vertical="top"/>
    </xf>
    <xf numFmtId="0" fontId="55" fillId="6" borderId="5" xfId="0" applyFont="1" applyFill="1" applyBorder="1" applyAlignment="1">
      <alignment vertical="top"/>
    </xf>
    <xf numFmtId="0" fontId="55" fillId="6" borderId="5" xfId="0" applyFont="1" applyFill="1" applyBorder="1" applyAlignment="1">
      <alignment vertical="top" wrapText="1"/>
    </xf>
    <xf numFmtId="0" fontId="55" fillId="6" borderId="12" xfId="0" applyFont="1" applyFill="1" applyBorder="1"/>
    <xf numFmtId="0" fontId="55" fillId="6" borderId="5" xfId="0" applyFont="1" applyFill="1" applyBorder="1" applyAlignment="1">
      <alignment horizontal="center" vertical="top" wrapText="1"/>
    </xf>
    <xf numFmtId="0" fontId="56" fillId="6" borderId="12" xfId="0" applyFont="1" applyFill="1" applyBorder="1"/>
    <xf numFmtId="188" fontId="45" fillId="6" borderId="5" xfId="1" applyNumberFormat="1" applyFont="1" applyFill="1" applyBorder="1" applyAlignment="1">
      <alignment horizontal="center" vertical="top" wrapText="1"/>
    </xf>
    <xf numFmtId="188" fontId="43" fillId="6" borderId="5" xfId="1" applyNumberFormat="1" applyFont="1" applyFill="1" applyBorder="1" applyAlignment="1">
      <alignment vertical="top"/>
    </xf>
    <xf numFmtId="0" fontId="43" fillId="6" borderId="5" xfId="0" applyFont="1" applyFill="1" applyBorder="1" applyAlignment="1">
      <alignment horizontal="center" vertical="center"/>
    </xf>
    <xf numFmtId="0" fontId="43" fillId="6" borderId="5" xfId="0" applyFont="1" applyFill="1" applyBorder="1" applyAlignment="1">
      <alignment horizontal="center" vertical="top" wrapText="1"/>
    </xf>
    <xf numFmtId="0" fontId="45" fillId="6" borderId="5" xfId="0" applyFont="1" applyFill="1" applyBorder="1" applyAlignment="1">
      <alignment horizontal="center" vertical="top" wrapText="1"/>
    </xf>
    <xf numFmtId="188" fontId="57" fillId="6" borderId="5" xfId="1" applyNumberFormat="1" applyFont="1" applyFill="1" applyBorder="1" applyAlignment="1">
      <alignment vertical="center"/>
    </xf>
    <xf numFmtId="0" fontId="46" fillId="6" borderId="5" xfId="0" applyFont="1" applyFill="1" applyBorder="1" applyAlignment="1">
      <alignment horizontal="center" vertical="center"/>
    </xf>
    <xf numFmtId="0" fontId="46" fillId="6" borderId="5" xfId="0" applyFont="1" applyFill="1" applyBorder="1" applyAlignment="1">
      <alignment vertical="center"/>
    </xf>
    <xf numFmtId="0" fontId="46" fillId="6" borderId="11" xfId="0" applyFont="1" applyFill="1" applyBorder="1" applyAlignment="1">
      <alignment vertical="center" wrapText="1"/>
    </xf>
    <xf numFmtId="0" fontId="59" fillId="6" borderId="5" xfId="0" applyFont="1" applyFill="1" applyBorder="1" applyAlignment="1">
      <alignment horizontal="center" vertical="top"/>
    </xf>
    <xf numFmtId="0" fontId="47" fillId="6" borderId="5" xfId="0" applyFont="1" applyFill="1" applyBorder="1" applyAlignment="1">
      <alignment horizontal="left" vertical="top" wrapText="1"/>
    </xf>
    <xf numFmtId="0" fontId="47" fillId="6" borderId="5" xfId="0" applyFont="1" applyFill="1" applyBorder="1" applyAlignment="1">
      <alignment vertical="top" wrapText="1"/>
    </xf>
    <xf numFmtId="0" fontId="47" fillId="6" borderId="5" xfId="0" applyFont="1" applyFill="1" applyBorder="1" applyAlignment="1">
      <alignment horizontal="center" vertical="top" wrapText="1"/>
    </xf>
    <xf numFmtId="43" fontId="59" fillId="6" borderId="5" xfId="1" applyFont="1" applyFill="1" applyBorder="1" applyAlignment="1">
      <alignment vertical="top"/>
    </xf>
    <xf numFmtId="0" fontId="62" fillId="3" borderId="0" xfId="0" applyFont="1" applyFill="1" applyAlignment="1">
      <alignment horizontal="center"/>
    </xf>
    <xf numFmtId="188" fontId="63" fillId="3" borderId="5" xfId="1" applyNumberFormat="1" applyFont="1" applyFill="1" applyBorder="1" applyAlignment="1">
      <alignment horizontal="center"/>
    </xf>
    <xf numFmtId="188" fontId="63" fillId="3" borderId="5" xfId="1" applyNumberFormat="1" applyFont="1" applyFill="1" applyBorder="1" applyAlignment="1">
      <alignment horizontal="center" vertical="top" wrapText="1"/>
    </xf>
    <xf numFmtId="0" fontId="62" fillId="3" borderId="0" xfId="0" applyFont="1" applyFill="1"/>
    <xf numFmtId="188" fontId="62" fillId="3" borderId="0" xfId="1" applyNumberFormat="1" applyFont="1" applyFill="1"/>
    <xf numFmtId="0" fontId="18" fillId="3" borderId="0" xfId="0" applyFont="1" applyFill="1"/>
    <xf numFmtId="43" fontId="64" fillId="3" borderId="5" xfId="1" applyFont="1" applyFill="1" applyBorder="1" applyAlignment="1">
      <alignment horizontal="center"/>
    </xf>
    <xf numFmtId="0" fontId="18" fillId="3" borderId="0" xfId="0" applyFont="1" applyFill="1" applyAlignment="1">
      <alignment horizontal="center"/>
    </xf>
    <xf numFmtId="0" fontId="69" fillId="0" borderId="1" xfId="0" applyFont="1" applyBorder="1" applyAlignment="1">
      <alignment horizontal="left" vertical="top" wrapText="1"/>
    </xf>
    <xf numFmtId="0" fontId="69" fillId="0" borderId="1" xfId="0" applyFont="1" applyBorder="1" applyAlignment="1">
      <alignment horizontal="center" vertical="top" wrapText="1"/>
    </xf>
    <xf numFmtId="0" fontId="70" fillId="0" borderId="0" xfId="0" applyFont="1"/>
    <xf numFmtId="0" fontId="70" fillId="0" borderId="0" xfId="0" applyFont="1" applyAlignment="1">
      <alignment horizontal="left"/>
    </xf>
    <xf numFmtId="0" fontId="70" fillId="0" borderId="0" xfId="0" applyFont="1" applyAlignment="1">
      <alignment horizontal="center"/>
    </xf>
    <xf numFmtId="0" fontId="70" fillId="0" borderId="0" xfId="0" applyFont="1" applyAlignment="1">
      <alignment vertical="top" wrapText="1"/>
    </xf>
    <xf numFmtId="188" fontId="70" fillId="0" borderId="0" xfId="7" applyNumberFormat="1" applyFont="1" applyAlignment="1">
      <alignment horizontal="right" vertical="top"/>
    </xf>
    <xf numFmtId="188" fontId="70" fillId="0" borderId="0" xfId="7" applyNumberFormat="1" applyFont="1" applyFill="1" applyAlignment="1">
      <alignment horizontal="right" vertical="top"/>
    </xf>
    <xf numFmtId="0" fontId="70" fillId="0" borderId="0" xfId="0" applyFont="1" applyAlignment="1">
      <alignment vertical="center"/>
    </xf>
    <xf numFmtId="188" fontId="70" fillId="0" borderId="0" xfId="7" applyNumberFormat="1" applyFont="1" applyFill="1"/>
    <xf numFmtId="0" fontId="70" fillId="0" borderId="2" xfId="0" applyFont="1" applyBorder="1"/>
    <xf numFmtId="0" fontId="70" fillId="0" borderId="3" xfId="0" applyFont="1" applyBorder="1"/>
    <xf numFmtId="0" fontId="70" fillId="0" borderId="4" xfId="0" applyFont="1" applyBorder="1"/>
    <xf numFmtId="188" fontId="70" fillId="0" borderId="0" xfId="7" applyNumberFormat="1" applyFont="1"/>
    <xf numFmtId="0" fontId="70" fillId="0" borderId="7" xfId="0" applyFont="1" applyBorder="1"/>
    <xf numFmtId="0" fontId="70" fillId="0" borderId="8" xfId="0" applyFont="1" applyBorder="1"/>
    <xf numFmtId="0" fontId="70" fillId="0" borderId="9" xfId="0" applyFont="1" applyBorder="1"/>
    <xf numFmtId="0" fontId="70" fillId="0" borderId="5" xfId="0" applyFont="1" applyBorder="1"/>
    <xf numFmtId="0" fontId="72" fillId="0" borderId="5" xfId="0" applyFont="1" applyBorder="1" applyAlignment="1">
      <alignment horizontal="center" vertical="center" wrapText="1"/>
    </xf>
    <xf numFmtId="0" fontId="72" fillId="0" borderId="5" xfId="0" applyFont="1" applyBorder="1" applyAlignment="1">
      <alignment horizontal="center" vertical="top" wrapText="1"/>
    </xf>
    <xf numFmtId="188" fontId="72" fillId="0" borderId="5" xfId="7" applyNumberFormat="1" applyFont="1" applyFill="1" applyBorder="1" applyAlignment="1">
      <alignment horizontal="right" vertical="top" wrapText="1"/>
    </xf>
    <xf numFmtId="188" fontId="72" fillId="0" borderId="10" xfId="7" applyNumberFormat="1" applyFont="1" applyBorder="1" applyAlignment="1">
      <alignment horizontal="right" vertical="top" wrapText="1"/>
    </xf>
    <xf numFmtId="188" fontId="72" fillId="0" borderId="10" xfId="7" applyNumberFormat="1" applyFont="1" applyFill="1" applyBorder="1" applyAlignment="1">
      <alignment horizontal="right" vertical="top" wrapText="1"/>
    </xf>
    <xf numFmtId="0" fontId="70" fillId="6" borderId="5" xfId="0" applyFont="1" applyFill="1" applyBorder="1" applyAlignment="1">
      <alignment horizontal="center" vertical="center"/>
    </xf>
    <xf numFmtId="0" fontId="72" fillId="6" borderId="12" xfId="0" applyFont="1" applyFill="1" applyBorder="1" applyAlignment="1">
      <alignment vertical="center"/>
    </xf>
    <xf numFmtId="0" fontId="72" fillId="6" borderId="13" xfId="0" applyFont="1" applyFill="1" applyBorder="1" applyAlignment="1">
      <alignment vertical="center"/>
    </xf>
    <xf numFmtId="0" fontId="72" fillId="6" borderId="5" xfId="0" applyFont="1" applyFill="1" applyBorder="1" applyAlignment="1">
      <alignment horizontal="center" vertical="center" wrapText="1"/>
    </xf>
    <xf numFmtId="188" fontId="72" fillId="6" borderId="5" xfId="7" applyNumberFormat="1" applyFont="1" applyFill="1" applyBorder="1" applyAlignment="1">
      <alignment horizontal="right" vertical="center" wrapText="1"/>
    </xf>
    <xf numFmtId="188" fontId="72" fillId="6" borderId="5" xfId="7" applyNumberFormat="1" applyFont="1" applyFill="1" applyBorder="1" applyAlignment="1">
      <alignment horizontal="center" vertical="center" wrapText="1"/>
    </xf>
    <xf numFmtId="0" fontId="70" fillId="6" borderId="5" xfId="0" applyFont="1" applyFill="1" applyBorder="1" applyAlignment="1">
      <alignment vertical="center"/>
    </xf>
    <xf numFmtId="188" fontId="70" fillId="0" borderId="0" xfId="7" applyNumberFormat="1" applyFont="1" applyFill="1" applyAlignment="1">
      <alignment vertical="center"/>
    </xf>
    <xf numFmtId="188" fontId="73" fillId="0" borderId="0" xfId="0" applyNumberFormat="1" applyFont="1" applyAlignment="1">
      <alignment vertical="center"/>
    </xf>
    <xf numFmtId="188" fontId="70" fillId="0" borderId="0" xfId="0" applyNumberFormat="1" applyFont="1" applyAlignment="1">
      <alignment vertical="center"/>
    </xf>
    <xf numFmtId="0" fontId="70" fillId="0" borderId="1" xfId="0" applyFont="1" applyBorder="1" applyAlignment="1">
      <alignment horizontal="left" vertical="top"/>
    </xf>
    <xf numFmtId="0" fontId="70" fillId="0" borderId="1" xfId="0" applyFont="1" applyBorder="1" applyAlignment="1">
      <alignment vertical="top"/>
    </xf>
    <xf numFmtId="0" fontId="70" fillId="2" borderId="1" xfId="0" applyFont="1" applyFill="1" applyBorder="1" applyAlignment="1">
      <alignment horizontal="center" vertical="top"/>
    </xf>
    <xf numFmtId="0" fontId="72" fillId="2" borderId="1" xfId="0" applyFont="1" applyFill="1" applyBorder="1" applyAlignment="1">
      <alignment horizontal="left" vertical="top" wrapText="1"/>
    </xf>
    <xf numFmtId="0" fontId="72" fillId="2" borderId="1" xfId="0" applyFont="1" applyFill="1" applyBorder="1" applyAlignment="1">
      <alignment vertical="top" wrapText="1"/>
    </xf>
    <xf numFmtId="0" fontId="72" fillId="2" borderId="1" xfId="0" applyFont="1" applyFill="1" applyBorder="1" applyAlignment="1">
      <alignment horizontal="center" vertical="top" wrapText="1"/>
    </xf>
    <xf numFmtId="0" fontId="72" fillId="2" borderId="5" xfId="0" applyFont="1" applyFill="1" applyBorder="1" applyAlignment="1">
      <alignment horizontal="left" vertical="top" wrapText="1"/>
    </xf>
    <xf numFmtId="188" fontId="72" fillId="2" borderId="5" xfId="7" applyNumberFormat="1" applyFont="1" applyFill="1" applyBorder="1" applyAlignment="1">
      <alignment horizontal="right" vertical="top" wrapText="1"/>
    </xf>
    <xf numFmtId="0" fontId="72" fillId="2" borderId="5" xfId="0" applyFont="1" applyFill="1" applyBorder="1" applyAlignment="1">
      <alignment horizontal="center" vertical="top" wrapText="1"/>
    </xf>
    <xf numFmtId="0" fontId="70" fillId="2" borderId="5" xfId="0" applyFont="1" applyFill="1" applyBorder="1" applyAlignment="1">
      <alignment vertical="center"/>
    </xf>
    <xf numFmtId="188" fontId="70" fillId="0" borderId="0" xfId="7" applyNumberFormat="1" applyFont="1" applyAlignment="1">
      <alignment vertical="top"/>
    </xf>
    <xf numFmtId="0" fontId="70" fillId="0" borderId="0" xfId="0" applyFont="1" applyAlignment="1">
      <alignment vertical="top"/>
    </xf>
    <xf numFmtId="0" fontId="70" fillId="0" borderId="10" xfId="0" applyFont="1" applyBorder="1" applyAlignment="1">
      <alignment horizontal="left" vertical="top"/>
    </xf>
    <xf numFmtId="0" fontId="70" fillId="0" borderId="10" xfId="0" applyFont="1" applyBorder="1" applyAlignment="1">
      <alignment vertical="top"/>
    </xf>
    <xf numFmtId="0" fontId="70" fillId="2" borderId="10" xfId="0" applyFont="1" applyFill="1" applyBorder="1" applyAlignment="1">
      <alignment horizontal="center" vertical="top"/>
    </xf>
    <xf numFmtId="0" fontId="72" fillId="2" borderId="10" xfId="0" applyFont="1" applyFill="1" applyBorder="1" applyAlignment="1">
      <alignment horizontal="left" vertical="top" wrapText="1"/>
    </xf>
    <xf numFmtId="0" fontId="72" fillId="2" borderId="10" xfId="0" applyFont="1" applyFill="1" applyBorder="1" applyAlignment="1">
      <alignment vertical="top" wrapText="1"/>
    </xf>
    <xf numFmtId="0" fontId="72" fillId="2" borderId="10" xfId="0" applyFont="1" applyFill="1" applyBorder="1" applyAlignment="1">
      <alignment horizontal="center" vertical="top" wrapText="1"/>
    </xf>
    <xf numFmtId="0" fontId="70" fillId="0" borderId="1" xfId="0" applyFont="1" applyBorder="1" applyAlignment="1">
      <alignment horizontal="center" vertical="top"/>
    </xf>
    <xf numFmtId="0" fontId="72" fillId="0" borderId="1" xfId="0" applyFont="1" applyBorder="1" applyAlignment="1">
      <alignment horizontal="center" vertical="top" wrapText="1"/>
    </xf>
    <xf numFmtId="188" fontId="70" fillId="0" borderId="5" xfId="7" applyNumberFormat="1" applyFont="1" applyBorder="1" applyAlignment="1">
      <alignment horizontal="right" vertical="top"/>
    </xf>
    <xf numFmtId="0" fontId="70" fillId="0" borderId="10" xfId="0" applyFont="1" applyBorder="1" applyAlignment="1">
      <alignment horizontal="center" vertical="top"/>
    </xf>
    <xf numFmtId="0" fontId="72" fillId="0" borderId="10" xfId="0" applyFont="1" applyBorder="1" applyAlignment="1">
      <alignment horizontal="center" vertical="top" wrapText="1"/>
    </xf>
    <xf numFmtId="188" fontId="70" fillId="0" borderId="0" xfId="7" applyNumberFormat="1" applyFont="1" applyFill="1" applyAlignment="1">
      <alignment vertical="top"/>
    </xf>
    <xf numFmtId="188" fontId="70" fillId="0" borderId="0" xfId="7" applyNumberFormat="1" applyFont="1" applyFill="1" applyAlignment="1">
      <alignment horizontal="center" vertical="top"/>
    </xf>
    <xf numFmtId="0" fontId="70" fillId="0" borderId="0" xfId="0" applyFont="1" applyAlignment="1">
      <alignment horizontal="center" vertical="top"/>
    </xf>
    <xf numFmtId="0" fontId="72" fillId="2" borderId="5" xfId="0" applyFont="1" applyFill="1" applyBorder="1" applyAlignment="1">
      <alignment horizontal="center" vertical="center" wrapText="1"/>
    </xf>
    <xf numFmtId="0" fontId="72" fillId="0" borderId="1" xfId="0" applyFont="1" applyBorder="1" applyAlignment="1">
      <alignment vertical="top" wrapText="1"/>
    </xf>
    <xf numFmtId="0" fontId="72" fillId="0" borderId="5" xfId="0" applyFont="1" applyBorder="1" applyAlignment="1">
      <alignment horizontal="left" vertical="top" wrapText="1"/>
    </xf>
    <xf numFmtId="0" fontId="70" fillId="0" borderId="6" xfId="0" applyFont="1" applyBorder="1" applyAlignment="1">
      <alignment horizontal="left" vertical="top"/>
    </xf>
    <xf numFmtId="0" fontId="70" fillId="0" borderId="6" xfId="0" applyFont="1" applyBorder="1" applyAlignment="1">
      <alignment vertical="top"/>
    </xf>
    <xf numFmtId="0" fontId="70" fillId="0" borderId="6" xfId="0" applyFont="1" applyBorder="1" applyAlignment="1">
      <alignment horizontal="center" vertical="top"/>
    </xf>
    <xf numFmtId="188" fontId="70" fillId="0" borderId="5" xfId="7" applyNumberFormat="1" applyFont="1" applyFill="1" applyBorder="1" applyAlignment="1">
      <alignment horizontal="right" vertical="top"/>
    </xf>
    <xf numFmtId="0" fontId="70" fillId="0" borderId="5" xfId="0" applyFont="1" applyBorder="1" applyAlignment="1">
      <alignment vertical="center"/>
    </xf>
    <xf numFmtId="0" fontId="70" fillId="0" borderId="5" xfId="0" applyFont="1" applyBorder="1" applyAlignment="1">
      <alignment horizontal="center" vertical="center"/>
    </xf>
    <xf numFmtId="0" fontId="74" fillId="2" borderId="5" xfId="0" applyFont="1" applyFill="1" applyBorder="1" applyAlignment="1">
      <alignment horizontal="center" vertical="top" wrapText="1"/>
    </xf>
    <xf numFmtId="0" fontId="74" fillId="2" borderId="5" xfId="0" applyFont="1" applyFill="1" applyBorder="1" applyAlignment="1">
      <alignment horizontal="left" vertical="top" wrapText="1"/>
    </xf>
    <xf numFmtId="188" fontId="74" fillId="2" borderId="5" xfId="7" applyNumberFormat="1" applyFont="1" applyFill="1" applyBorder="1" applyAlignment="1">
      <alignment horizontal="center" vertical="top" wrapText="1"/>
    </xf>
    <xf numFmtId="188" fontId="75" fillId="2" borderId="5" xfId="7" applyNumberFormat="1" applyFont="1" applyFill="1" applyBorder="1" applyAlignment="1">
      <alignment horizontal="center" vertical="top" wrapText="1"/>
    </xf>
    <xf numFmtId="188" fontId="74" fillId="0" borderId="5" xfId="7" applyNumberFormat="1" applyFont="1" applyFill="1" applyBorder="1" applyAlignment="1">
      <alignment horizontal="center" vertical="top" wrapText="1"/>
    </xf>
    <xf numFmtId="0" fontId="75" fillId="2" borderId="5" xfId="0" applyFont="1" applyFill="1" applyBorder="1" applyAlignment="1">
      <alignment horizontal="center" vertical="top" wrapText="1"/>
    </xf>
    <xf numFmtId="0" fontId="76" fillId="2" borderId="5" xfId="0" applyFont="1" applyFill="1" applyBorder="1" applyAlignment="1">
      <alignment vertical="top"/>
    </xf>
    <xf numFmtId="0" fontId="74" fillId="0" borderId="5" xfId="0" applyFont="1" applyBorder="1" applyAlignment="1">
      <alignment horizontal="left" vertical="top" wrapText="1"/>
    </xf>
    <xf numFmtId="0" fontId="70" fillId="0" borderId="6" xfId="0" applyFont="1" applyBorder="1"/>
    <xf numFmtId="0" fontId="70" fillId="0" borderId="6" xfId="0" applyFont="1" applyBorder="1" applyAlignment="1">
      <alignment horizontal="center" vertical="center"/>
    </xf>
    <xf numFmtId="0" fontId="70" fillId="0" borderId="6" xfId="0" applyFont="1" applyBorder="1" applyAlignment="1">
      <alignment horizontal="center"/>
    </xf>
    <xf numFmtId="188" fontId="70" fillId="2" borderId="5" xfId="7" applyNumberFormat="1" applyFont="1" applyFill="1" applyBorder="1" applyAlignment="1">
      <alignment horizontal="right" vertical="top"/>
    </xf>
    <xf numFmtId="188" fontId="72" fillId="2" borderId="6" xfId="7" applyNumberFormat="1" applyFont="1" applyFill="1" applyBorder="1" applyAlignment="1">
      <alignment horizontal="center" vertical="top" wrapText="1"/>
    </xf>
    <xf numFmtId="0" fontId="70" fillId="0" borderId="5" xfId="0" applyFont="1" applyBorder="1" applyAlignment="1">
      <alignment vertical="top" wrapText="1"/>
    </xf>
    <xf numFmtId="188" fontId="72" fillId="2" borderId="6" xfId="7" applyNumberFormat="1" applyFont="1" applyFill="1" applyBorder="1" applyAlignment="1">
      <alignment horizontal="center" vertical="center" wrapText="1"/>
    </xf>
    <xf numFmtId="188" fontId="74" fillId="2" borderId="5" xfId="7" applyNumberFormat="1" applyFont="1" applyFill="1" applyBorder="1" applyAlignment="1">
      <alignment horizontal="right" vertical="top" wrapText="1"/>
    </xf>
    <xf numFmtId="188" fontId="72" fillId="2" borderId="10" xfId="7" applyNumberFormat="1" applyFont="1" applyFill="1" applyBorder="1" applyAlignment="1">
      <alignment horizontal="center" vertical="top" wrapText="1"/>
    </xf>
    <xf numFmtId="188" fontId="72" fillId="2" borderId="10" xfId="7" applyNumberFormat="1" applyFont="1" applyFill="1" applyBorder="1" applyAlignment="1">
      <alignment horizontal="center" vertical="center" wrapText="1"/>
    </xf>
    <xf numFmtId="188" fontId="70" fillId="2" borderId="5" xfId="7" applyNumberFormat="1" applyFont="1" applyFill="1" applyBorder="1" applyAlignment="1">
      <alignment horizontal="right" vertical="top" wrapText="1"/>
    </xf>
    <xf numFmtId="0" fontId="70" fillId="2" borderId="5" xfId="0" applyFont="1" applyFill="1" applyBorder="1" applyAlignment="1">
      <alignment vertical="top"/>
    </xf>
    <xf numFmtId="0" fontId="70" fillId="0" borderId="10" xfId="0" applyFont="1" applyBorder="1"/>
    <xf numFmtId="0" fontId="77" fillId="0" borderId="0" xfId="0" applyFont="1"/>
    <xf numFmtId="0" fontId="70" fillId="2" borderId="5" xfId="0" applyFont="1" applyFill="1" applyBorder="1" applyAlignment="1">
      <alignment horizontal="center" vertical="center"/>
    </xf>
    <xf numFmtId="0" fontId="70" fillId="0" borderId="5" xfId="0" applyFont="1" applyBorder="1" applyAlignment="1">
      <alignment horizontal="justify" vertical="top"/>
    </xf>
    <xf numFmtId="188" fontId="77" fillId="0" borderId="5" xfId="0" applyNumberFormat="1" applyFont="1" applyBorder="1" applyAlignment="1">
      <alignment vertical="top"/>
    </xf>
    <xf numFmtId="188" fontId="78" fillId="2" borderId="5" xfId="7" applyNumberFormat="1" applyFont="1" applyFill="1" applyBorder="1" applyAlignment="1">
      <alignment vertical="top"/>
    </xf>
    <xf numFmtId="188" fontId="70" fillId="2" borderId="5" xfId="7" applyNumberFormat="1" applyFont="1" applyFill="1" applyBorder="1" applyAlignment="1">
      <alignment vertical="top"/>
    </xf>
    <xf numFmtId="188" fontId="72" fillId="2" borderId="5" xfId="7" applyNumberFormat="1" applyFont="1" applyFill="1" applyBorder="1" applyAlignment="1">
      <alignment horizontal="center" vertical="top" wrapText="1"/>
    </xf>
    <xf numFmtId="188" fontId="72" fillId="2" borderId="5" xfId="7" applyNumberFormat="1" applyFont="1" applyFill="1" applyBorder="1" applyAlignment="1">
      <alignment horizontal="center" vertical="center" wrapText="1"/>
    </xf>
    <xf numFmtId="0" fontId="79" fillId="0" borderId="0" xfId="0" applyFont="1" applyAlignment="1">
      <alignment horizontal="justify"/>
    </xf>
    <xf numFmtId="188" fontId="77" fillId="0" borderId="5" xfId="0" applyNumberFormat="1" applyFont="1" applyBorder="1" applyAlignment="1">
      <alignment vertical="center"/>
    </xf>
    <xf numFmtId="188" fontId="78" fillId="2" borderId="5" xfId="7" applyNumberFormat="1" applyFont="1" applyFill="1" applyBorder="1" applyAlignment="1">
      <alignment vertical="center"/>
    </xf>
    <xf numFmtId="188" fontId="70" fillId="2" borderId="5" xfId="7" applyNumberFormat="1" applyFont="1" applyFill="1" applyBorder="1" applyAlignment="1">
      <alignment vertical="center"/>
    </xf>
    <xf numFmtId="188" fontId="72" fillId="2" borderId="1" xfId="7" applyNumberFormat="1" applyFont="1" applyFill="1" applyBorder="1" applyAlignment="1">
      <alignment horizontal="center" vertical="center" wrapText="1"/>
    </xf>
    <xf numFmtId="0" fontId="70" fillId="0" borderId="10" xfId="0" applyFont="1" applyBorder="1" applyAlignment="1">
      <alignment vertical="top" wrapText="1"/>
    </xf>
    <xf numFmtId="0" fontId="77" fillId="0" borderId="5" xfId="0" applyFont="1" applyBorder="1" applyAlignment="1">
      <alignment vertical="center"/>
    </xf>
    <xf numFmtId="0" fontId="70" fillId="0" borderId="10" xfId="0" applyFont="1" applyBorder="1" applyAlignment="1">
      <alignment horizontal="justify" vertical="top"/>
    </xf>
    <xf numFmtId="188" fontId="78" fillId="2" borderId="10" xfId="7" applyNumberFormat="1" applyFont="1" applyFill="1" applyBorder="1" applyAlignment="1">
      <alignment vertical="center"/>
    </xf>
    <xf numFmtId="0" fontId="70" fillId="0" borderId="1" xfId="0" applyFont="1" applyBorder="1" applyAlignment="1">
      <alignment horizontal="center" vertical="center"/>
    </xf>
    <xf numFmtId="0" fontId="70" fillId="2" borderId="1" xfId="0" applyFont="1" applyFill="1" applyBorder="1" applyAlignment="1">
      <alignment horizontal="center" vertical="center"/>
    </xf>
    <xf numFmtId="0" fontId="70" fillId="0" borderId="1" xfId="0" applyFont="1" applyBorder="1" applyAlignment="1">
      <alignment vertical="top" wrapText="1"/>
    </xf>
    <xf numFmtId="0" fontId="70" fillId="0" borderId="10" xfId="0" applyFont="1" applyBorder="1" applyAlignment="1">
      <alignment horizontal="center" vertical="center"/>
    </xf>
    <xf numFmtId="0" fontId="70" fillId="2" borderId="10" xfId="0" applyFont="1" applyFill="1" applyBorder="1" applyAlignment="1">
      <alignment horizontal="center" vertical="center"/>
    </xf>
    <xf numFmtId="188" fontId="70" fillId="2" borderId="0" xfId="7" applyNumberFormat="1" applyFont="1" applyFill="1" applyAlignment="1">
      <alignment horizontal="right" vertical="top"/>
    </xf>
    <xf numFmtId="0" fontId="70" fillId="0" borderId="5" xfId="0" applyFont="1" applyBorder="1" applyAlignment="1">
      <alignment vertical="center" wrapText="1"/>
    </xf>
    <xf numFmtId="0" fontId="70" fillId="0" borderId="5" xfId="0" applyFont="1" applyBorder="1" applyAlignment="1">
      <alignment horizontal="center"/>
    </xf>
    <xf numFmtId="188" fontId="72" fillId="0" borderId="5" xfId="7" applyNumberFormat="1" applyFont="1" applyFill="1" applyBorder="1" applyAlignment="1">
      <alignment horizontal="right" vertical="top"/>
    </xf>
    <xf numFmtId="188" fontId="70" fillId="0" borderId="0" xfId="7" applyNumberFormat="1" applyFont="1" applyAlignment="1"/>
    <xf numFmtId="0" fontId="70" fillId="0" borderId="1" xfId="0" applyFont="1" applyBorder="1"/>
    <xf numFmtId="0" fontId="72" fillId="0" borderId="1" xfId="0" applyFont="1" applyBorder="1" applyAlignment="1">
      <alignment vertical="center" wrapText="1"/>
    </xf>
    <xf numFmtId="0" fontId="70" fillId="0" borderId="1" xfId="0" applyFont="1" applyBorder="1" applyAlignment="1">
      <alignment horizontal="center"/>
    </xf>
    <xf numFmtId="0" fontId="72" fillId="0" borderId="5" xfId="0" applyFont="1" applyBorder="1" applyAlignment="1">
      <alignment vertical="top" wrapText="1"/>
    </xf>
    <xf numFmtId="0" fontId="72" fillId="0" borderId="10" xfId="0" applyFont="1" applyBorder="1" applyAlignment="1">
      <alignment vertical="center" wrapText="1"/>
    </xf>
    <xf numFmtId="0" fontId="70" fillId="0" borderId="10" xfId="0" applyFont="1" applyBorder="1" applyAlignment="1">
      <alignment horizontal="center"/>
    </xf>
    <xf numFmtId="0" fontId="72" fillId="0" borderId="5" xfId="5" applyFont="1" applyBorder="1" applyAlignment="1">
      <alignment vertical="top" wrapText="1"/>
    </xf>
    <xf numFmtId="0" fontId="70" fillId="0" borderId="5" xfId="0" applyFont="1" applyBorder="1" applyAlignment="1">
      <alignment wrapText="1"/>
    </xf>
    <xf numFmtId="49" fontId="72" fillId="0" borderId="1" xfId="0" applyNumberFormat="1" applyFont="1" applyBorder="1" applyAlignment="1">
      <alignment vertical="center" wrapText="1"/>
    </xf>
    <xf numFmtId="188" fontId="73" fillId="0" borderId="0" xfId="7" applyNumberFormat="1" applyFont="1" applyAlignment="1">
      <alignment vertical="top" wrapText="1"/>
    </xf>
    <xf numFmtId="49" fontId="72" fillId="0" borderId="5" xfId="0" applyNumberFormat="1" applyFont="1" applyBorder="1" applyAlignment="1">
      <alignment vertical="top" wrapText="1"/>
    </xf>
    <xf numFmtId="49" fontId="72" fillId="0" borderId="6" xfId="0" applyNumberFormat="1" applyFont="1" applyBorder="1" applyAlignment="1">
      <alignment vertical="center" wrapText="1"/>
    </xf>
    <xf numFmtId="49" fontId="72" fillId="0" borderId="10" xfId="0" applyNumberFormat="1" applyFont="1" applyBorder="1" applyAlignment="1">
      <alignment vertical="center" wrapText="1"/>
    </xf>
    <xf numFmtId="0" fontId="70" fillId="0" borderId="5" xfId="0" applyFont="1" applyBorder="1" applyAlignment="1">
      <alignment horizontal="left" vertical="top"/>
    </xf>
    <xf numFmtId="0" fontId="70" fillId="0" borderId="5" xfId="0" applyFont="1" applyBorder="1" applyAlignment="1">
      <alignment vertical="top"/>
    </xf>
    <xf numFmtId="0" fontId="70" fillId="0" borderId="5" xfId="0" applyFont="1" applyBorder="1" applyAlignment="1">
      <alignment horizontal="center" vertical="top"/>
    </xf>
    <xf numFmtId="0" fontId="72" fillId="0" borderId="13" xfId="0" applyFont="1" applyBorder="1" applyAlignment="1">
      <alignment horizontal="left" vertical="top" wrapText="1"/>
    </xf>
    <xf numFmtId="188" fontId="72" fillId="0" borderId="5" xfId="7" applyNumberFormat="1" applyFont="1" applyFill="1" applyBorder="1" applyAlignment="1">
      <alignment horizontal="center" vertical="top" wrapText="1"/>
    </xf>
    <xf numFmtId="188" fontId="72" fillId="0" borderId="5" xfId="7" applyNumberFormat="1" applyFont="1" applyFill="1" applyBorder="1" applyAlignment="1">
      <alignment horizontal="center" vertical="center" wrapText="1"/>
    </xf>
    <xf numFmtId="0" fontId="71" fillId="0" borderId="1" xfId="0" applyFont="1" applyBorder="1" applyAlignment="1">
      <alignment horizontal="center" vertical="top"/>
    </xf>
    <xf numFmtId="188" fontId="71" fillId="0" borderId="5" xfId="7" applyNumberFormat="1" applyFont="1" applyFill="1" applyBorder="1" applyAlignment="1">
      <alignment horizontal="right" vertical="top" wrapText="1"/>
    </xf>
    <xf numFmtId="188" fontId="70" fillId="0" borderId="0" xfId="7" applyNumberFormat="1" applyFont="1" applyFill="1" applyAlignment="1"/>
    <xf numFmtId="0" fontId="71" fillId="0" borderId="10" xfId="0" applyFont="1" applyBorder="1" applyAlignment="1">
      <alignment horizontal="center" vertical="top"/>
    </xf>
    <xf numFmtId="0" fontId="70" fillId="2" borderId="10" xfId="0" applyFont="1" applyFill="1" applyBorder="1" applyAlignment="1">
      <alignment vertical="top" wrapText="1"/>
    </xf>
    <xf numFmtId="0" fontId="70" fillId="2" borderId="10" xfId="0" applyFont="1" applyFill="1" applyBorder="1" applyAlignment="1">
      <alignment vertical="top"/>
    </xf>
    <xf numFmtId="0" fontId="71" fillId="2" borderId="5" xfId="0" applyFont="1" applyFill="1" applyBorder="1" applyAlignment="1">
      <alignment horizontal="center" vertical="center" wrapText="1"/>
    </xf>
    <xf numFmtId="0" fontId="70" fillId="2" borderId="11" xfId="0" applyFont="1" applyFill="1" applyBorder="1" applyAlignment="1">
      <alignment horizontal="center" vertical="top"/>
    </xf>
    <xf numFmtId="0" fontId="72" fillId="0" borderId="10" xfId="0" applyFont="1" applyBorder="1" applyAlignment="1">
      <alignment horizontal="left" vertical="top" wrapText="1"/>
    </xf>
    <xf numFmtId="0" fontId="72" fillId="0" borderId="9" xfId="0" applyFont="1" applyBorder="1" applyAlignment="1">
      <alignment horizontal="center" vertical="top" wrapText="1"/>
    </xf>
    <xf numFmtId="0" fontId="70" fillId="2" borderId="5" xfId="0" applyFont="1" applyFill="1" applyBorder="1" applyAlignment="1">
      <alignment horizontal="center" vertical="top"/>
    </xf>
    <xf numFmtId="188" fontId="70" fillId="0" borderId="10" xfId="7" applyNumberFormat="1" applyFont="1" applyFill="1" applyBorder="1" applyAlignment="1">
      <alignment horizontal="right" vertical="top"/>
    </xf>
    <xf numFmtId="188" fontId="72" fillId="6" borderId="5" xfId="7" applyNumberFormat="1" applyFont="1" applyFill="1" applyBorder="1" applyAlignment="1">
      <alignment horizontal="center" vertical="center"/>
    </xf>
    <xf numFmtId="188" fontId="70" fillId="0" borderId="5" xfId="7" applyNumberFormat="1" applyFont="1" applyFill="1" applyBorder="1" applyAlignment="1">
      <alignment horizontal="right" vertical="top" wrapText="1"/>
    </xf>
    <xf numFmtId="0" fontId="72" fillId="0" borderId="6" xfId="0" applyFont="1" applyBorder="1" applyAlignment="1">
      <alignment vertical="top" wrapText="1"/>
    </xf>
    <xf numFmtId="0" fontId="72" fillId="0" borderId="6" xfId="0" applyFont="1" applyBorder="1" applyAlignment="1">
      <alignment horizontal="center" vertical="top" wrapText="1"/>
    </xf>
    <xf numFmtId="0" fontId="72" fillId="0" borderId="10" xfId="0" applyFont="1" applyBorder="1" applyAlignment="1">
      <alignment vertical="top" wrapText="1"/>
    </xf>
    <xf numFmtId="0" fontId="70" fillId="2" borderId="10" xfId="0" applyFont="1" applyFill="1" applyBorder="1" applyAlignment="1">
      <alignment horizontal="center" vertical="top" wrapText="1"/>
    </xf>
    <xf numFmtId="0" fontId="70" fillId="2" borderId="5" xfId="0" applyFont="1" applyFill="1" applyBorder="1" applyAlignment="1">
      <alignment vertical="top" wrapText="1"/>
    </xf>
    <xf numFmtId="0" fontId="70" fillId="0" borderId="5" xfId="9" applyFont="1" applyBorder="1" applyAlignment="1">
      <alignment vertical="top" wrapText="1"/>
    </xf>
    <xf numFmtId="0" fontId="70" fillId="2" borderId="5" xfId="0" applyFont="1" applyFill="1" applyBorder="1" applyAlignment="1">
      <alignment horizontal="center" vertical="top" wrapText="1"/>
    </xf>
    <xf numFmtId="0" fontId="72" fillId="2" borderId="5" xfId="0" applyFont="1" applyFill="1" applyBorder="1" applyAlignment="1">
      <alignment vertical="top" wrapText="1"/>
    </xf>
    <xf numFmtId="188" fontId="70" fillId="2" borderId="1" xfId="7" applyNumberFormat="1" applyFont="1" applyFill="1" applyBorder="1" applyAlignment="1">
      <alignment horizontal="right" vertical="top"/>
    </xf>
    <xf numFmtId="0" fontId="70" fillId="2" borderId="1" xfId="0" applyFont="1" applyFill="1" applyBorder="1" applyAlignment="1">
      <alignment vertical="center"/>
    </xf>
    <xf numFmtId="0" fontId="70" fillId="0" borderId="10" xfId="10" applyFont="1" applyBorder="1" applyAlignment="1">
      <alignment vertical="top" wrapText="1"/>
    </xf>
    <xf numFmtId="188" fontId="70" fillId="2" borderId="10" xfId="7" applyNumberFormat="1" applyFont="1" applyFill="1" applyBorder="1" applyAlignment="1">
      <alignment horizontal="right" vertical="top"/>
    </xf>
    <xf numFmtId="0" fontId="70" fillId="2" borderId="10" xfId="0" applyFont="1" applyFill="1" applyBorder="1" applyAlignment="1">
      <alignment vertical="center"/>
    </xf>
    <xf numFmtId="0" fontId="72" fillId="0" borderId="1" xfId="0" applyFont="1" applyBorder="1" applyAlignment="1">
      <alignment horizontal="center" vertical="top"/>
    </xf>
    <xf numFmtId="188" fontId="72" fillId="0" borderId="10" xfId="7" applyNumberFormat="1" applyFont="1" applyFill="1" applyBorder="1" applyAlignment="1">
      <alignment horizontal="right" vertical="top"/>
    </xf>
    <xf numFmtId="0" fontId="72" fillId="0" borderId="6" xfId="0" applyFont="1" applyBorder="1" applyAlignment="1">
      <alignment horizontal="center" vertical="top"/>
    </xf>
    <xf numFmtId="0" fontId="72" fillId="0" borderId="10" xfId="0" applyFont="1" applyBorder="1" applyAlignment="1">
      <alignment horizontal="center" vertical="top"/>
    </xf>
    <xf numFmtId="0" fontId="70" fillId="2" borderId="1" xfId="0" applyFont="1" applyFill="1" applyBorder="1" applyAlignment="1">
      <alignment vertical="top"/>
    </xf>
    <xf numFmtId="0" fontId="81" fillId="0" borderId="1" xfId="0" applyFont="1" applyBorder="1" applyAlignment="1">
      <alignment vertical="top" wrapText="1"/>
    </xf>
    <xf numFmtId="0" fontId="81" fillId="0" borderId="1" xfId="0" applyFont="1" applyBorder="1" applyAlignment="1">
      <alignment horizontal="center" vertical="top" wrapText="1"/>
    </xf>
    <xf numFmtId="0" fontId="82" fillId="2" borderId="5" xfId="0" applyFont="1" applyFill="1" applyBorder="1" applyAlignment="1">
      <alignment horizontal="left" vertical="center" wrapText="1"/>
    </xf>
    <xf numFmtId="188" fontId="81" fillId="0" borderId="5" xfId="7" applyNumberFormat="1" applyFont="1" applyFill="1" applyBorder="1" applyAlignment="1">
      <alignment horizontal="center" vertical="top" wrapText="1"/>
    </xf>
    <xf numFmtId="188" fontId="81" fillId="0" borderId="5" xfId="11" applyNumberFormat="1" applyFont="1" applyFill="1" applyBorder="1" applyAlignment="1">
      <alignment vertical="top"/>
    </xf>
    <xf numFmtId="188" fontId="70" fillId="0" borderId="5" xfId="11" applyNumberFormat="1" applyFont="1" applyFill="1" applyBorder="1" applyAlignment="1">
      <alignment vertical="top"/>
    </xf>
    <xf numFmtId="188" fontId="70" fillId="0" borderId="5" xfId="11" applyNumberFormat="1" applyFont="1" applyFill="1" applyBorder="1" applyAlignment="1">
      <alignment vertical="center"/>
    </xf>
    <xf numFmtId="0" fontId="81" fillId="0" borderId="10" xfId="0" applyFont="1" applyBorder="1" applyAlignment="1">
      <alignment vertical="top" wrapText="1"/>
    </xf>
    <xf numFmtId="0" fontId="81" fillId="0" borderId="10" xfId="0" applyFont="1" applyBorder="1" applyAlignment="1">
      <alignment horizontal="center" vertical="top" wrapText="1"/>
    </xf>
    <xf numFmtId="0" fontId="82" fillId="2" borderId="5" xfId="0" applyFont="1" applyFill="1" applyBorder="1" applyAlignment="1">
      <alignment horizontal="left" vertical="top" wrapText="1"/>
    </xf>
    <xf numFmtId="0" fontId="70" fillId="0" borderId="1" xfId="0" applyFont="1" applyBorder="1" applyAlignment="1">
      <alignment horizontal="center" vertical="top" wrapText="1"/>
    </xf>
    <xf numFmtId="188" fontId="81" fillId="0" borderId="5" xfId="11" applyNumberFormat="1" applyFont="1" applyFill="1" applyBorder="1" applyAlignment="1">
      <alignment vertical="top" wrapText="1"/>
    </xf>
    <xf numFmtId="0" fontId="70" fillId="0" borderId="6" xfId="0" applyFont="1" applyBorder="1" applyAlignment="1">
      <alignment horizontal="center" vertical="top" wrapText="1"/>
    </xf>
    <xf numFmtId="3" fontId="70" fillId="0" borderId="6" xfId="0" applyNumberFormat="1" applyFont="1" applyBorder="1" applyAlignment="1">
      <alignment horizontal="left" vertical="top" wrapText="1"/>
    </xf>
    <xf numFmtId="0" fontId="70" fillId="0" borderId="0" xfId="0" applyFont="1" applyAlignment="1">
      <alignment horizontal="center" vertical="top" wrapText="1"/>
    </xf>
    <xf numFmtId="0" fontId="81" fillId="0" borderId="0" xfId="0" applyFont="1"/>
    <xf numFmtId="188" fontId="81" fillId="0" borderId="5" xfId="11" applyNumberFormat="1" applyFont="1" applyFill="1" applyBorder="1" applyAlignment="1">
      <alignment horizontal="center" vertical="top" wrapText="1"/>
    </xf>
    <xf numFmtId="188" fontId="81" fillId="0" borderId="0" xfId="0" applyNumberFormat="1" applyFont="1" applyAlignment="1">
      <alignment vertical="top"/>
    </xf>
    <xf numFmtId="188" fontId="81" fillId="0" borderId="0" xfId="7" applyNumberFormat="1" applyFont="1"/>
    <xf numFmtId="0" fontId="72" fillId="0" borderId="5" xfId="0" applyFont="1" applyBorder="1" applyAlignment="1">
      <alignment horizontal="left" vertical="center" wrapText="1"/>
    </xf>
    <xf numFmtId="188" fontId="70" fillId="0" borderId="5" xfId="7" applyNumberFormat="1" applyFont="1" applyFill="1" applyBorder="1" applyAlignment="1">
      <alignment horizontal="right" vertical="center" wrapText="1"/>
    </xf>
    <xf numFmtId="188" fontId="70" fillId="0" borderId="5" xfId="11" applyNumberFormat="1" applyFont="1" applyFill="1" applyBorder="1" applyAlignment="1">
      <alignment horizontal="center" vertical="top" wrapText="1"/>
    </xf>
    <xf numFmtId="188" fontId="70" fillId="0" borderId="5" xfId="11" applyNumberFormat="1" applyFont="1" applyFill="1" applyBorder="1" applyAlignment="1">
      <alignment horizontal="center" vertical="center" wrapText="1"/>
    </xf>
    <xf numFmtId="3" fontId="70" fillId="0" borderId="5" xfId="0" applyNumberFormat="1" applyFont="1" applyBorder="1" applyAlignment="1">
      <alignment horizontal="left" vertical="top" wrapText="1"/>
    </xf>
    <xf numFmtId="3" fontId="70" fillId="0" borderId="5" xfId="0" applyNumberFormat="1" applyFont="1" applyBorder="1" applyAlignment="1">
      <alignment horizontal="center" vertical="top"/>
    </xf>
    <xf numFmtId="188" fontId="70" fillId="0" borderId="5" xfId="11" applyNumberFormat="1" applyFont="1" applyFill="1" applyBorder="1" applyAlignment="1">
      <alignment horizontal="left" vertical="top" wrapText="1"/>
    </xf>
    <xf numFmtId="3" fontId="70" fillId="0" borderId="5" xfId="0" applyNumberFormat="1" applyFont="1" applyBorder="1" applyAlignment="1">
      <alignment vertical="top" wrapText="1"/>
    </xf>
    <xf numFmtId="188" fontId="70" fillId="0" borderId="5" xfId="7" applyNumberFormat="1" applyFont="1" applyFill="1" applyBorder="1" applyAlignment="1">
      <alignment horizontal="right" vertical="top" shrinkToFit="1"/>
    </xf>
    <xf numFmtId="188" fontId="70" fillId="0" borderId="5" xfId="11" applyNumberFormat="1" applyFont="1" applyFill="1" applyBorder="1" applyAlignment="1">
      <alignment vertical="center" wrapText="1"/>
    </xf>
    <xf numFmtId="0" fontId="70" fillId="0" borderId="5" xfId="0" applyFont="1" applyBorder="1" applyAlignment="1">
      <alignment horizontal="left" vertical="top" wrapText="1"/>
    </xf>
    <xf numFmtId="0" fontId="81" fillId="2" borderId="5" xfId="0" applyFont="1" applyFill="1" applyBorder="1" applyAlignment="1">
      <alignment horizontal="center" vertical="top"/>
    </xf>
    <xf numFmtId="0" fontId="83" fillId="0" borderId="0" xfId="0" applyFont="1" applyAlignment="1">
      <alignment horizontal="left" vertical="top"/>
    </xf>
    <xf numFmtId="3" fontId="81" fillId="0" borderId="5" xfId="0" applyNumberFormat="1" applyFont="1" applyBorder="1" applyAlignment="1">
      <alignment horizontal="left" vertical="top" wrapText="1"/>
    </xf>
    <xf numFmtId="3" fontId="81" fillId="0" borderId="5" xfId="0" applyNumberFormat="1" applyFont="1" applyBorder="1" applyAlignment="1">
      <alignment horizontal="center" vertical="top"/>
    </xf>
    <xf numFmtId="188" fontId="81" fillId="0" borderId="5" xfId="7" applyNumberFormat="1" applyFont="1" applyFill="1" applyBorder="1" applyAlignment="1">
      <alignment horizontal="center" vertical="top" shrinkToFit="1"/>
    </xf>
    <xf numFmtId="188" fontId="81" fillId="0" borderId="5" xfId="11" applyNumberFormat="1" applyFont="1" applyFill="1" applyBorder="1" applyAlignment="1">
      <alignment horizontal="center" vertical="top"/>
    </xf>
    <xf numFmtId="188" fontId="81" fillId="0" borderId="5" xfId="11" applyNumberFormat="1" applyFont="1" applyFill="1" applyBorder="1" applyAlignment="1">
      <alignment horizontal="center" vertical="top" shrinkToFit="1"/>
    </xf>
    <xf numFmtId="0" fontId="81" fillId="0" borderId="5" xfId="0" applyFont="1" applyBorder="1" applyAlignment="1">
      <alignment horizontal="left" vertical="top" wrapText="1"/>
    </xf>
    <xf numFmtId="0" fontId="81" fillId="0" borderId="5" xfId="0" applyFont="1" applyBorder="1" applyAlignment="1">
      <alignment horizontal="center" vertical="top" wrapText="1"/>
    </xf>
    <xf numFmtId="188" fontId="84" fillId="0" borderId="5" xfId="11" applyNumberFormat="1" applyFont="1" applyFill="1" applyBorder="1" applyAlignment="1">
      <alignment horizontal="center" vertical="top" wrapText="1"/>
    </xf>
    <xf numFmtId="188" fontId="82" fillId="0" borderId="5" xfId="11" applyNumberFormat="1" applyFont="1" applyFill="1" applyBorder="1" applyAlignment="1">
      <alignment horizontal="center" vertical="top"/>
    </xf>
    <xf numFmtId="188" fontId="84" fillId="0" borderId="5" xfId="11" applyNumberFormat="1" applyFont="1" applyFill="1" applyBorder="1" applyAlignment="1">
      <alignment horizontal="center" vertical="top"/>
    </xf>
    <xf numFmtId="188" fontId="70" fillId="0" borderId="5" xfId="11" applyNumberFormat="1" applyFont="1" applyFill="1" applyBorder="1" applyAlignment="1">
      <alignment vertical="top" wrapText="1"/>
    </xf>
    <xf numFmtId="0" fontId="81" fillId="2" borderId="5" xfId="0" applyFont="1" applyFill="1" applyBorder="1" applyAlignment="1">
      <alignment horizontal="left" vertical="top" wrapText="1"/>
    </xf>
    <xf numFmtId="3" fontId="81" fillId="2" borderId="5" xfId="0" applyNumberFormat="1" applyFont="1" applyFill="1" applyBorder="1" applyAlignment="1">
      <alignment horizontal="left" vertical="top" wrapText="1"/>
    </xf>
    <xf numFmtId="0" fontId="81" fillId="2" borderId="5" xfId="0" applyFont="1" applyFill="1" applyBorder="1" applyAlignment="1">
      <alignment horizontal="center" vertical="top" wrapText="1"/>
    </xf>
    <xf numFmtId="188" fontId="81" fillId="2" borderId="5" xfId="7" applyNumberFormat="1" applyFont="1" applyFill="1" applyBorder="1" applyAlignment="1">
      <alignment horizontal="center" vertical="top" wrapText="1"/>
    </xf>
    <xf numFmtId="188" fontId="81" fillId="2" borderId="5" xfId="11" applyNumberFormat="1" applyFont="1" applyFill="1" applyBorder="1" applyAlignment="1">
      <alignment horizontal="center" vertical="top"/>
    </xf>
    <xf numFmtId="188" fontId="82" fillId="2" borderId="5" xfId="11" applyNumberFormat="1" applyFont="1" applyFill="1" applyBorder="1" applyAlignment="1">
      <alignment horizontal="center" vertical="top" wrapText="1"/>
    </xf>
    <xf numFmtId="188" fontId="82" fillId="2" borderId="5" xfId="11" applyNumberFormat="1" applyFont="1" applyFill="1" applyBorder="1" applyAlignment="1">
      <alignment horizontal="center" vertical="top"/>
    </xf>
    <xf numFmtId="188" fontId="84" fillId="2" borderId="5" xfId="11" applyNumberFormat="1" applyFont="1" applyFill="1" applyBorder="1" applyAlignment="1">
      <alignment horizontal="center" vertical="top"/>
    </xf>
    <xf numFmtId="188" fontId="81" fillId="2" borderId="5" xfId="11" applyNumberFormat="1" applyFont="1" applyFill="1" applyBorder="1" applyAlignment="1">
      <alignment horizontal="center" vertical="top" shrinkToFit="1"/>
    </xf>
    <xf numFmtId="3" fontId="70" fillId="0" borderId="1" xfId="0" applyNumberFormat="1" applyFont="1" applyBorder="1" applyAlignment="1">
      <alignment horizontal="left" vertical="top" wrapText="1"/>
    </xf>
    <xf numFmtId="188" fontId="70" fillId="2" borderId="5" xfId="7" applyNumberFormat="1" applyFont="1" applyFill="1" applyBorder="1" applyAlignment="1">
      <alignment horizontal="left" vertical="top" wrapText="1"/>
    </xf>
    <xf numFmtId="3" fontId="70" fillId="0" borderId="10" xfId="0" applyNumberFormat="1" applyFont="1" applyBorder="1" applyAlignment="1">
      <alignment horizontal="left" vertical="top" wrapText="1"/>
    </xf>
    <xf numFmtId="0" fontId="70" fillId="0" borderId="1" xfId="0" applyFont="1" applyBorder="1" applyAlignment="1">
      <alignment horizontal="left" vertical="top" wrapText="1"/>
    </xf>
    <xf numFmtId="0" fontId="70" fillId="0" borderId="6" xfId="0" applyFont="1" applyBorder="1" applyAlignment="1">
      <alignment vertical="top" wrapText="1"/>
    </xf>
    <xf numFmtId="0" fontId="70" fillId="0" borderId="6" xfId="0" applyFont="1" applyBorder="1" applyAlignment="1">
      <alignment horizontal="left" vertical="top" wrapText="1"/>
    </xf>
    <xf numFmtId="0" fontId="70" fillId="2" borderId="1" xfId="0" applyFont="1" applyFill="1" applyBorder="1" applyAlignment="1">
      <alignment horizontal="center" vertical="top" wrapText="1"/>
    </xf>
    <xf numFmtId="3" fontId="72" fillId="0" borderId="5" xfId="0" applyNumberFormat="1" applyFont="1" applyBorder="1" applyAlignment="1">
      <alignment horizontal="left" vertical="top" wrapText="1"/>
    </xf>
    <xf numFmtId="0" fontId="70" fillId="2" borderId="6" xfId="0" applyFont="1" applyFill="1" applyBorder="1" applyAlignment="1">
      <alignment horizontal="center" vertical="top"/>
    </xf>
    <xf numFmtId="0" fontId="70" fillId="2" borderId="6" xfId="0" applyFont="1" applyFill="1" applyBorder="1" applyAlignment="1">
      <alignment vertical="top"/>
    </xf>
    <xf numFmtId="188" fontId="70" fillId="0" borderId="5" xfId="0" applyNumberFormat="1" applyFont="1" applyBorder="1" applyAlignment="1">
      <alignment vertical="top" wrapText="1"/>
    </xf>
    <xf numFmtId="0" fontId="81" fillId="0" borderId="6" xfId="0" applyFont="1" applyBorder="1" applyAlignment="1">
      <alignment vertical="top"/>
    </xf>
    <xf numFmtId="0" fontId="82" fillId="0" borderId="5" xfId="0" applyFont="1" applyBorder="1" applyAlignment="1">
      <alignment horizontal="center" vertical="top" wrapText="1"/>
    </xf>
    <xf numFmtId="0" fontId="81" fillId="0" borderId="5" xfId="0" applyFont="1" applyBorder="1" applyAlignment="1">
      <alignment horizontal="center" vertical="top"/>
    </xf>
    <xf numFmtId="0" fontId="81" fillId="0" borderId="5" xfId="0" applyFont="1" applyBorder="1" applyAlignment="1">
      <alignment vertical="top"/>
    </xf>
    <xf numFmtId="188" fontId="81" fillId="0" borderId="5" xfId="7" applyNumberFormat="1" applyFont="1" applyFill="1" applyBorder="1" applyAlignment="1">
      <alignment horizontal="right" vertical="top"/>
    </xf>
    <xf numFmtId="188" fontId="81" fillId="0" borderId="5" xfId="7" applyNumberFormat="1" applyFont="1" applyFill="1" applyBorder="1" applyAlignment="1">
      <alignment horizontal="right" vertical="top" wrapText="1"/>
    </xf>
    <xf numFmtId="188" fontId="74" fillId="0" borderId="5" xfId="7" applyNumberFormat="1" applyFont="1" applyFill="1" applyBorder="1" applyAlignment="1">
      <alignment horizontal="left" vertical="top" wrapText="1"/>
    </xf>
    <xf numFmtId="3" fontId="70" fillId="0" borderId="5" xfId="0" applyNumberFormat="1" applyFont="1" applyBorder="1" applyAlignment="1">
      <alignment horizontal="left" vertical="top"/>
    </xf>
    <xf numFmtId="188" fontId="74" fillId="0" borderId="5" xfId="7" applyNumberFormat="1" applyFont="1" applyFill="1" applyBorder="1" applyAlignment="1">
      <alignment vertical="top"/>
    </xf>
    <xf numFmtId="188" fontId="74" fillId="0" borderId="5" xfId="7" applyNumberFormat="1" applyFont="1" applyFill="1" applyBorder="1" applyAlignment="1">
      <alignment horizontal="right" vertical="top"/>
    </xf>
    <xf numFmtId="0" fontId="74" fillId="0" borderId="5" xfId="0" applyFont="1" applyBorder="1" applyAlignment="1">
      <alignment vertical="top"/>
    </xf>
    <xf numFmtId="188" fontId="74" fillId="0" borderId="5" xfId="0" applyNumberFormat="1" applyFont="1" applyBorder="1" applyAlignment="1">
      <alignment vertical="top"/>
    </xf>
    <xf numFmtId="0" fontId="85" fillId="0" borderId="1" xfId="0" applyFont="1" applyBorder="1" applyAlignment="1">
      <alignment horizontal="left" vertical="top" wrapText="1"/>
    </xf>
    <xf numFmtId="0" fontId="82" fillId="0" borderId="5" xfId="0" applyFont="1" applyBorder="1" applyAlignment="1">
      <alignment horizontal="left" vertical="top" wrapText="1"/>
    </xf>
    <xf numFmtId="188" fontId="82" fillId="0" borderId="5" xfId="7" applyNumberFormat="1" applyFont="1" applyFill="1" applyBorder="1" applyAlignment="1">
      <alignment horizontal="center" vertical="top" wrapText="1"/>
    </xf>
    <xf numFmtId="188" fontId="82" fillId="0" borderId="5" xfId="7" applyNumberFormat="1" applyFont="1" applyFill="1" applyBorder="1" applyAlignment="1">
      <alignment vertical="top" wrapText="1"/>
    </xf>
    <xf numFmtId="0" fontId="85" fillId="0" borderId="6" xfId="0" applyFont="1" applyBorder="1" applyAlignment="1">
      <alignment horizontal="left" vertical="top" wrapText="1"/>
    </xf>
    <xf numFmtId="0" fontId="81" fillId="0" borderId="5" xfId="0" applyFont="1" applyBorder="1" applyAlignment="1">
      <alignment vertical="top" wrapText="1"/>
    </xf>
    <xf numFmtId="3" fontId="81" fillId="0" borderId="5" xfId="0" applyNumberFormat="1" applyFont="1" applyBorder="1" applyAlignment="1">
      <alignment vertical="top"/>
    </xf>
    <xf numFmtId="0" fontId="72" fillId="0" borderId="6" xfId="0" applyFont="1" applyBorder="1" applyAlignment="1">
      <alignment vertical="top"/>
    </xf>
    <xf numFmtId="188" fontId="81" fillId="0" borderId="10" xfId="7" applyNumberFormat="1" applyFont="1" applyFill="1" applyBorder="1" applyAlignment="1">
      <alignment vertical="top"/>
    </xf>
    <xf numFmtId="188" fontId="81" fillId="0" borderId="5" xfId="7" applyNumberFormat="1" applyFont="1" applyFill="1" applyBorder="1" applyAlignment="1">
      <alignment horizontal="right" vertical="center"/>
    </xf>
    <xf numFmtId="188" fontId="81" fillId="0" borderId="5" xfId="7" applyNumberFormat="1" applyFont="1" applyFill="1" applyBorder="1" applyAlignment="1">
      <alignment vertical="top"/>
    </xf>
    <xf numFmtId="188" fontId="73" fillId="0" borderId="5" xfId="7" applyNumberFormat="1" applyFont="1" applyFill="1" applyBorder="1" applyAlignment="1">
      <alignment horizontal="right" vertical="top"/>
    </xf>
    <xf numFmtId="188" fontId="73" fillId="0" borderId="5" xfId="11" applyNumberFormat="1" applyFont="1" applyFill="1" applyBorder="1" applyAlignment="1">
      <alignment vertical="top" wrapText="1"/>
    </xf>
    <xf numFmtId="188" fontId="72" fillId="0" borderId="5" xfId="11" applyNumberFormat="1" applyFont="1" applyFill="1" applyBorder="1" applyAlignment="1">
      <alignment vertical="center" wrapText="1"/>
    </xf>
    <xf numFmtId="188" fontId="72" fillId="0" borderId="0" xfId="7" applyNumberFormat="1" applyFont="1" applyFill="1" applyAlignment="1">
      <alignment vertical="top"/>
    </xf>
    <xf numFmtId="0" fontId="72" fillId="0" borderId="0" xfId="0" applyFont="1" applyAlignment="1">
      <alignment vertical="top"/>
    </xf>
    <xf numFmtId="0" fontId="81" fillId="0" borderId="6" xfId="0" applyFont="1" applyBorder="1" applyAlignment="1">
      <alignment vertical="top" wrapText="1"/>
    </xf>
    <xf numFmtId="188" fontId="81" fillId="0" borderId="10" xfId="7" applyNumberFormat="1" applyFont="1" applyFill="1" applyBorder="1" applyAlignment="1">
      <alignment vertical="top" wrapText="1"/>
    </xf>
    <xf numFmtId="188" fontId="81" fillId="0" borderId="10" xfId="7" applyNumberFormat="1" applyFont="1" applyFill="1" applyBorder="1" applyAlignment="1">
      <alignment horizontal="center" vertical="top" wrapText="1"/>
    </xf>
    <xf numFmtId="188" fontId="73" fillId="0" borderId="5" xfId="7" applyNumberFormat="1" applyFont="1" applyFill="1" applyBorder="1" applyAlignment="1">
      <alignment horizontal="right" vertical="top" wrapText="1"/>
    </xf>
    <xf numFmtId="188" fontId="73" fillId="0" borderId="10" xfId="7" applyNumberFormat="1" applyFont="1" applyFill="1" applyBorder="1" applyAlignment="1">
      <alignment horizontal="right" vertical="top" wrapText="1"/>
    </xf>
    <xf numFmtId="0" fontId="73" fillId="0" borderId="10" xfId="0" applyFont="1" applyBorder="1" applyAlignment="1">
      <alignment vertical="top" wrapText="1"/>
    </xf>
    <xf numFmtId="0" fontId="70" fillId="0" borderId="10" xfId="0" applyFont="1" applyBorder="1" applyAlignment="1">
      <alignment vertical="center"/>
    </xf>
    <xf numFmtId="188" fontId="81" fillId="0" borderId="5" xfId="7" applyNumberFormat="1" applyFont="1" applyFill="1" applyBorder="1" applyAlignment="1">
      <alignment vertical="top" wrapText="1"/>
    </xf>
    <xf numFmtId="0" fontId="73" fillId="0" borderId="5" xfId="0" applyFont="1" applyBorder="1" applyAlignment="1">
      <alignment vertical="top" wrapText="1"/>
    </xf>
    <xf numFmtId="0" fontId="70" fillId="0" borderId="8" xfId="0" applyFont="1" applyBorder="1" applyAlignment="1">
      <alignment vertical="top" wrapText="1"/>
    </xf>
    <xf numFmtId="0" fontId="70" fillId="2" borderId="1" xfId="0" applyFont="1" applyFill="1" applyBorder="1"/>
    <xf numFmtId="0" fontId="70" fillId="2" borderId="1" xfId="0" applyFont="1" applyFill="1" applyBorder="1" applyAlignment="1">
      <alignment vertical="top" wrapText="1"/>
    </xf>
    <xf numFmtId="0" fontId="70" fillId="2" borderId="5" xfId="0" applyFont="1" applyFill="1" applyBorder="1" applyAlignment="1">
      <alignment horizontal="left" vertical="top" wrapText="1"/>
    </xf>
    <xf numFmtId="188" fontId="70" fillId="2" borderId="0" xfId="7" applyNumberFormat="1" applyFont="1" applyFill="1" applyAlignment="1"/>
    <xf numFmtId="0" fontId="70" fillId="2" borderId="0" xfId="0" applyFont="1" applyFill="1"/>
    <xf numFmtId="0" fontId="70" fillId="2" borderId="6" xfId="0" applyFont="1" applyFill="1" applyBorder="1"/>
    <xf numFmtId="3" fontId="70" fillId="2" borderId="6" xfId="0" applyNumberFormat="1" applyFont="1" applyFill="1" applyBorder="1" applyAlignment="1">
      <alignment vertical="top"/>
    </xf>
    <xf numFmtId="3" fontId="70" fillId="2" borderId="6" xfId="0" applyNumberFormat="1" applyFont="1" applyFill="1" applyBorder="1" applyAlignment="1">
      <alignment horizontal="center" vertical="top"/>
    </xf>
    <xf numFmtId="188" fontId="70" fillId="2" borderId="5" xfId="11" applyNumberFormat="1" applyFont="1" applyFill="1" applyBorder="1" applyAlignment="1">
      <alignment vertical="top" wrapText="1"/>
    </xf>
    <xf numFmtId="188" fontId="70" fillId="2" borderId="5" xfId="11" applyNumberFormat="1" applyFont="1" applyFill="1" applyBorder="1" applyAlignment="1">
      <alignment vertical="center" wrapText="1"/>
    </xf>
    <xf numFmtId="0" fontId="70" fillId="2" borderId="10" xfId="0" applyFont="1" applyFill="1" applyBorder="1"/>
    <xf numFmtId="3" fontId="70" fillId="2" borderId="10" xfId="0" applyNumberFormat="1" applyFont="1" applyFill="1" applyBorder="1" applyAlignment="1">
      <alignment horizontal="left" vertical="top" wrapText="1"/>
    </xf>
    <xf numFmtId="0" fontId="81" fillId="0" borderId="6" xfId="0" applyFont="1" applyBorder="1"/>
    <xf numFmtId="0" fontId="81" fillId="2" borderId="6" xfId="0" applyFont="1" applyFill="1" applyBorder="1" applyAlignment="1">
      <alignment horizontal="center" vertical="top"/>
    </xf>
    <xf numFmtId="0" fontId="81" fillId="2" borderId="4" xfId="0" applyFont="1" applyFill="1" applyBorder="1" applyAlignment="1">
      <alignment vertical="top" wrapText="1"/>
    </xf>
    <xf numFmtId="0" fontId="81" fillId="2" borderId="1" xfId="0" applyFont="1" applyFill="1" applyBorder="1" applyAlignment="1">
      <alignment vertical="top" wrapText="1"/>
    </xf>
    <xf numFmtId="0" fontId="82" fillId="2" borderId="5" xfId="0" applyFont="1" applyFill="1" applyBorder="1" applyAlignment="1">
      <alignment vertical="top" wrapText="1"/>
    </xf>
    <xf numFmtId="0" fontId="81" fillId="2" borderId="5" xfId="0" applyFont="1" applyFill="1" applyBorder="1" applyAlignment="1">
      <alignment vertical="top" wrapText="1"/>
    </xf>
    <xf numFmtId="188" fontId="81" fillId="2" borderId="5" xfId="7" applyNumberFormat="1" applyFont="1" applyFill="1" applyBorder="1" applyAlignment="1">
      <alignment horizontal="right" vertical="top" wrapText="1"/>
    </xf>
    <xf numFmtId="188" fontId="81" fillId="2" borderId="5" xfId="7" applyNumberFormat="1" applyFont="1" applyFill="1" applyBorder="1" applyAlignment="1">
      <alignment vertical="center" wrapText="1"/>
    </xf>
    <xf numFmtId="188" fontId="81" fillId="2" borderId="5" xfId="7" applyNumberFormat="1" applyFont="1" applyFill="1" applyBorder="1" applyAlignment="1">
      <alignment vertical="top" wrapText="1"/>
    </xf>
    <xf numFmtId="188" fontId="81" fillId="2" borderId="5" xfId="7" applyNumberFormat="1" applyFont="1" applyFill="1" applyBorder="1" applyAlignment="1">
      <alignment vertical="top"/>
    </xf>
    <xf numFmtId="188" fontId="87" fillId="2" borderId="5" xfId="7" applyNumberFormat="1" applyFont="1" applyFill="1" applyBorder="1" applyAlignment="1">
      <alignment horizontal="center" vertical="top" wrapText="1"/>
    </xf>
    <xf numFmtId="0" fontId="81" fillId="2" borderId="6" xfId="0" applyFont="1" applyFill="1" applyBorder="1" applyAlignment="1">
      <alignment vertical="top" wrapText="1"/>
    </xf>
    <xf numFmtId="0" fontId="81" fillId="2" borderId="13" xfId="0" applyFont="1" applyFill="1" applyBorder="1" applyAlignment="1">
      <alignment vertical="top" wrapText="1"/>
    </xf>
    <xf numFmtId="188" fontId="81" fillId="2" borderId="5" xfId="7" applyNumberFormat="1" applyFont="1" applyFill="1" applyBorder="1" applyAlignment="1">
      <alignment vertical="center"/>
    </xf>
    <xf numFmtId="188" fontId="82" fillId="2" borderId="5" xfId="7" applyNumberFormat="1" applyFont="1" applyFill="1" applyBorder="1" applyAlignment="1">
      <alignment vertical="top" wrapText="1"/>
    </xf>
    <xf numFmtId="188" fontId="82" fillId="2" borderId="5" xfId="7" applyNumberFormat="1" applyFont="1" applyFill="1" applyBorder="1" applyAlignment="1">
      <alignment horizontal="center" vertical="top" wrapText="1"/>
    </xf>
    <xf numFmtId="0" fontId="81" fillId="2" borderId="0" xfId="0" applyFont="1" applyFill="1" applyAlignment="1">
      <alignment vertical="top"/>
    </xf>
    <xf numFmtId="188" fontId="82" fillId="2" borderId="5" xfId="7" applyNumberFormat="1" applyFont="1" applyFill="1" applyBorder="1" applyAlignment="1">
      <alignment horizontal="center" vertical="top"/>
    </xf>
    <xf numFmtId="188" fontId="81" fillId="2" borderId="5" xfId="7" applyNumberFormat="1" applyFont="1" applyFill="1" applyBorder="1" applyAlignment="1">
      <alignment horizontal="right" vertical="top"/>
    </xf>
    <xf numFmtId="0" fontId="81" fillId="0" borderId="0" xfId="0" applyFont="1" applyAlignment="1">
      <alignment vertical="top"/>
    </xf>
    <xf numFmtId="0" fontId="82" fillId="2" borderId="5" xfId="0" applyFont="1" applyFill="1" applyBorder="1" applyAlignment="1">
      <alignment horizontal="center" vertical="top" wrapText="1"/>
    </xf>
    <xf numFmtId="0" fontId="81" fillId="0" borderId="10" xfId="0" applyFont="1" applyBorder="1"/>
    <xf numFmtId="0" fontId="81" fillId="2" borderId="10" xfId="0" applyFont="1" applyFill="1" applyBorder="1" applyAlignment="1">
      <alignment horizontal="center" vertical="top"/>
    </xf>
    <xf numFmtId="0" fontId="81" fillId="2" borderId="10" xfId="0" applyFont="1" applyFill="1" applyBorder="1" applyAlignment="1">
      <alignment vertical="top" wrapText="1"/>
    </xf>
    <xf numFmtId="0" fontId="81" fillId="2" borderId="5" xfId="0" applyFont="1" applyFill="1" applyBorder="1" applyAlignment="1">
      <alignment vertical="top"/>
    </xf>
    <xf numFmtId="188" fontId="70" fillId="0" borderId="1" xfId="7" applyNumberFormat="1" applyFont="1" applyFill="1" applyBorder="1" applyAlignment="1">
      <alignment horizontal="right" vertical="top" wrapText="1"/>
    </xf>
    <xf numFmtId="188" fontId="70" fillId="0" borderId="1" xfId="7" applyNumberFormat="1" applyFont="1" applyFill="1" applyBorder="1" applyAlignment="1">
      <alignment horizontal="right" vertical="top"/>
    </xf>
    <xf numFmtId="0" fontId="70" fillId="0" borderId="5" xfId="0" applyFont="1" applyBorder="1" applyAlignment="1">
      <alignment horizontal="center" vertical="top" wrapText="1"/>
    </xf>
    <xf numFmtId="0" fontId="70" fillId="0" borderId="5" xfId="12" applyFont="1" applyBorder="1" applyAlignment="1">
      <alignment vertical="top" wrapText="1" shrinkToFit="1"/>
    </xf>
    <xf numFmtId="188" fontId="70" fillId="0" borderId="5" xfId="7" applyNumberFormat="1" applyFont="1" applyBorder="1" applyAlignment="1">
      <alignment horizontal="right" vertical="top" shrinkToFit="1"/>
    </xf>
    <xf numFmtId="0" fontId="70" fillId="2" borderId="5" xfId="12" applyFont="1" applyFill="1" applyBorder="1" applyAlignment="1">
      <alignment vertical="top" wrapText="1"/>
    </xf>
    <xf numFmtId="0" fontId="72" fillId="0" borderId="1" xfId="12" applyFont="1" applyBorder="1" applyAlignment="1">
      <alignment horizontal="left" vertical="top" wrapText="1"/>
    </xf>
    <xf numFmtId="0" fontId="72" fillId="0" borderId="5" xfId="12" applyFont="1" applyBorder="1" applyAlignment="1">
      <alignment horizontal="left" vertical="top" wrapText="1"/>
    </xf>
    <xf numFmtId="0" fontId="72" fillId="0" borderId="5" xfId="12" applyFont="1" applyBorder="1" applyAlignment="1">
      <alignment horizontal="center" vertical="top"/>
    </xf>
    <xf numFmtId="188" fontId="72" fillId="0" borderId="5" xfId="7" applyNumberFormat="1" applyFont="1" applyBorder="1" applyAlignment="1">
      <alignment horizontal="left" vertical="top"/>
    </xf>
    <xf numFmtId="188" fontId="73" fillId="0" borderId="5" xfId="7" applyNumberFormat="1" applyFont="1" applyFill="1" applyBorder="1" applyAlignment="1">
      <alignment horizontal="right" vertical="top" shrinkToFit="1"/>
    </xf>
    <xf numFmtId="0" fontId="70" fillId="0" borderId="13" xfId="12" applyFont="1" applyBorder="1" applyAlignment="1">
      <alignment horizontal="left" vertical="top" wrapText="1"/>
    </xf>
    <xf numFmtId="0" fontId="70" fillId="0" borderId="5" xfId="12" applyFont="1" applyBorder="1" applyAlignment="1">
      <alignment vertical="top" wrapText="1"/>
    </xf>
    <xf numFmtId="0" fontId="70" fillId="0" borderId="5" xfId="12" applyFont="1" applyBorder="1" applyAlignment="1">
      <alignment vertical="top"/>
    </xf>
    <xf numFmtId="0" fontId="70" fillId="0" borderId="5" xfId="12" applyFont="1" applyBorder="1" applyAlignment="1">
      <alignment horizontal="center" vertical="top"/>
    </xf>
    <xf numFmtId="188" fontId="88" fillId="0" borderId="5" xfId="7" applyNumberFormat="1" applyFont="1" applyBorder="1" applyAlignment="1">
      <alignment horizontal="right" vertical="top"/>
    </xf>
    <xf numFmtId="188" fontId="88" fillId="0" borderId="5" xfId="7" applyNumberFormat="1" applyFont="1" applyFill="1" applyBorder="1" applyAlignment="1">
      <alignment horizontal="right" vertical="top" shrinkToFit="1"/>
    </xf>
    <xf numFmtId="188" fontId="89" fillId="0" borderId="5" xfId="7" applyNumberFormat="1" applyFont="1" applyFill="1" applyBorder="1" applyAlignment="1">
      <alignment horizontal="right" vertical="top" shrinkToFit="1"/>
    </xf>
    <xf numFmtId="188" fontId="90" fillId="0" borderId="5" xfId="7" applyNumberFormat="1" applyFont="1" applyFill="1" applyBorder="1" applyAlignment="1">
      <alignment horizontal="right" vertical="top" shrinkToFit="1"/>
    </xf>
    <xf numFmtId="188" fontId="88" fillId="0" borderId="5" xfId="7" applyNumberFormat="1" applyFont="1" applyFill="1" applyBorder="1" applyAlignment="1">
      <alignment horizontal="right" vertical="top" wrapText="1"/>
    </xf>
    <xf numFmtId="188" fontId="88" fillId="0" borderId="5" xfId="7" applyNumberFormat="1" applyFont="1" applyBorder="1" applyAlignment="1">
      <alignment horizontal="right" vertical="top" shrinkToFit="1"/>
    </xf>
    <xf numFmtId="0" fontId="70" fillId="0" borderId="1" xfId="12" applyFont="1" applyBorder="1" applyAlignment="1">
      <alignment horizontal="center" vertical="top" wrapText="1"/>
    </xf>
    <xf numFmtId="0" fontId="70" fillId="0" borderId="5" xfId="12" applyFont="1" applyBorder="1" applyAlignment="1">
      <alignment horizontal="left" vertical="top" wrapText="1"/>
    </xf>
    <xf numFmtId="0" fontId="70" fillId="0" borderId="10" xfId="12" applyFont="1" applyBorder="1" applyAlignment="1">
      <alignment horizontal="center" vertical="top" wrapText="1"/>
    </xf>
    <xf numFmtId="0" fontId="72" fillId="6" borderId="5" xfId="0" applyFont="1" applyFill="1" applyBorder="1" applyAlignment="1">
      <alignment horizontal="center" vertical="center"/>
    </xf>
    <xf numFmtId="0" fontId="72" fillId="0" borderId="0" xfId="0" applyFont="1" applyAlignment="1">
      <alignment vertical="center"/>
    </xf>
    <xf numFmtId="0" fontId="72" fillId="0" borderId="1" xfId="0" applyFont="1" applyBorder="1" applyAlignment="1">
      <alignment horizontal="center"/>
    </xf>
    <xf numFmtId="0" fontId="72" fillId="0" borderId="1" xfId="0" applyFont="1" applyBorder="1"/>
    <xf numFmtId="188" fontId="72" fillId="0" borderId="5" xfId="7" applyNumberFormat="1" applyFont="1" applyBorder="1" applyAlignment="1">
      <alignment horizontal="right" vertical="top"/>
    </xf>
    <xf numFmtId="0" fontId="72" fillId="0" borderId="1" xfId="0" applyFont="1" applyBorder="1" applyAlignment="1">
      <alignment vertical="center"/>
    </xf>
    <xf numFmtId="188" fontId="72" fillId="0" borderId="0" xfId="7" applyNumberFormat="1" applyFont="1"/>
    <xf numFmtId="0" fontId="72" fillId="0" borderId="0" xfId="0" applyFont="1"/>
    <xf numFmtId="0" fontId="72" fillId="0" borderId="6" xfId="0" applyFont="1" applyBorder="1" applyAlignment="1">
      <alignment horizontal="left" vertical="top" wrapText="1"/>
    </xf>
    <xf numFmtId="188" fontId="73" fillId="0" borderId="5" xfId="7" applyNumberFormat="1" applyFont="1" applyBorder="1" applyAlignment="1">
      <alignment horizontal="right" vertical="top"/>
    </xf>
    <xf numFmtId="188" fontId="70" fillId="0" borderId="0" xfId="7" applyNumberFormat="1" applyFont="1" applyAlignment="1">
      <alignment vertical="center"/>
    </xf>
    <xf numFmtId="0" fontId="70" fillId="0" borderId="11" xfId="12" applyFont="1" applyBorder="1" applyAlignment="1">
      <alignment vertical="top" wrapText="1" shrinkToFit="1"/>
    </xf>
    <xf numFmtId="188" fontId="72" fillId="0" borderId="1" xfId="7" applyNumberFormat="1" applyFont="1" applyFill="1" applyBorder="1" applyAlignment="1">
      <alignment horizontal="right" vertical="top" wrapText="1"/>
    </xf>
    <xf numFmtId="0" fontId="72" fillId="0" borderId="5" xfId="0" applyFont="1" applyBorder="1" applyAlignment="1">
      <alignment horizontal="center"/>
    </xf>
    <xf numFmtId="0" fontId="72" fillId="0" borderId="5" xfId="0" applyFont="1" applyBorder="1" applyAlignment="1">
      <alignment horizontal="center" vertical="center"/>
    </xf>
    <xf numFmtId="0" fontId="72" fillId="0" borderId="1" xfId="0" applyFont="1" applyBorder="1" applyAlignment="1">
      <alignment horizontal="center" vertical="center" wrapText="1"/>
    </xf>
    <xf numFmtId="0" fontId="72" fillId="0" borderId="1" xfId="0" applyFont="1" applyBorder="1" applyAlignment="1">
      <alignment horizontal="left" vertical="top" wrapText="1"/>
    </xf>
    <xf numFmtId="188" fontId="72" fillId="0" borderId="6" xfId="7" applyNumberFormat="1" applyFont="1" applyFill="1" applyBorder="1" applyAlignment="1">
      <alignment horizontal="right" vertical="top" wrapText="1"/>
    </xf>
    <xf numFmtId="188" fontId="72" fillId="0" borderId="0" xfId="7" applyNumberFormat="1" applyFont="1" applyAlignment="1">
      <alignment horizontal="right" vertical="top"/>
    </xf>
    <xf numFmtId="0" fontId="72" fillId="0" borderId="6" xfId="0" applyFont="1" applyBorder="1" applyAlignment="1">
      <alignment horizontal="center"/>
    </xf>
    <xf numFmtId="0" fontId="72" fillId="0" borderId="6" xfId="0" applyFont="1" applyBorder="1" applyAlignment="1">
      <alignment horizontal="center" vertical="center"/>
    </xf>
    <xf numFmtId="188" fontId="70" fillId="0" borderId="5" xfId="7" applyNumberFormat="1" applyFont="1" applyFill="1" applyBorder="1" applyAlignment="1">
      <alignment vertical="top" wrapText="1"/>
    </xf>
    <xf numFmtId="188" fontId="72" fillId="0" borderId="5" xfId="7" applyNumberFormat="1" applyFont="1" applyFill="1" applyBorder="1" applyAlignment="1">
      <alignment vertical="top" wrapText="1"/>
    </xf>
    <xf numFmtId="0" fontId="70" fillId="0" borderId="4" xfId="0" applyFont="1" applyBorder="1" applyAlignment="1">
      <alignment vertical="center" wrapText="1"/>
    </xf>
    <xf numFmtId="0" fontId="70" fillId="0" borderId="1" xfId="0" applyFont="1" applyBorder="1" applyAlignment="1">
      <alignment vertical="center"/>
    </xf>
    <xf numFmtId="0" fontId="70" fillId="0" borderId="35" xfId="0" applyFont="1" applyBorder="1" applyAlignment="1">
      <alignment vertical="center" wrapText="1"/>
    </xf>
    <xf numFmtId="0" fontId="70" fillId="0" borderId="6" xfId="0" applyFont="1" applyBorder="1" applyAlignment="1">
      <alignment vertical="center"/>
    </xf>
    <xf numFmtId="0" fontId="70" fillId="0" borderId="9" xfId="0" applyFont="1" applyBorder="1" applyAlignment="1">
      <alignment vertical="center" wrapText="1"/>
    </xf>
    <xf numFmtId="0" fontId="91" fillId="2" borderId="5" xfId="0" applyFont="1" applyFill="1" applyBorder="1" applyAlignment="1">
      <alignment vertical="top" wrapText="1"/>
    </xf>
    <xf numFmtId="0" fontId="91" fillId="0" borderId="5" xfId="0" applyFont="1" applyBorder="1" applyAlignment="1">
      <alignment horizontal="center" vertical="center" wrapText="1"/>
    </xf>
    <xf numFmtId="0" fontId="70" fillId="0" borderId="12" xfId="0" applyFont="1" applyBorder="1"/>
    <xf numFmtId="188" fontId="91" fillId="0" borderId="5" xfId="13" applyNumberFormat="1" applyFont="1" applyFill="1" applyBorder="1" applyAlignment="1">
      <alignment horizontal="left" vertical="top" wrapText="1"/>
    </xf>
    <xf numFmtId="0" fontId="95" fillId="0" borderId="5" xfId="0" applyFont="1" applyBorder="1" applyAlignment="1">
      <alignment horizontal="center" vertical="center" wrapText="1"/>
    </xf>
    <xf numFmtId="188" fontId="95" fillId="2" borderId="5" xfId="1" applyNumberFormat="1" applyFont="1" applyFill="1" applyBorder="1" applyAlignment="1">
      <alignment horizontal="center" vertical="top" wrapText="1"/>
    </xf>
    <xf numFmtId="0" fontId="95" fillId="2" borderId="5" xfId="0" applyFont="1" applyFill="1" applyBorder="1" applyAlignment="1">
      <alignment horizontal="center" vertical="top" wrapText="1"/>
    </xf>
    <xf numFmtId="188" fontId="94" fillId="2" borderId="5" xfId="1" applyNumberFormat="1" applyFont="1" applyFill="1" applyBorder="1" applyAlignment="1">
      <alignment vertical="top" wrapText="1"/>
    </xf>
    <xf numFmtId="0" fontId="94" fillId="0" borderId="10" xfId="0" applyFont="1" applyBorder="1" applyAlignment="1">
      <alignment horizontal="center" vertical="center" wrapText="1"/>
    </xf>
    <xf numFmtId="0" fontId="94" fillId="0" borderId="10" xfId="0" applyFont="1" applyBorder="1" applyAlignment="1">
      <alignment horizontal="center" vertical="center"/>
    </xf>
    <xf numFmtId="0" fontId="94" fillId="0" borderId="5" xfId="0" applyFont="1" applyBorder="1" applyAlignment="1">
      <alignment horizontal="center" vertical="top" wrapText="1"/>
    </xf>
    <xf numFmtId="0" fontId="94" fillId="0" borderId="5" xfId="0" applyFont="1" applyBorder="1" applyAlignment="1">
      <alignment horizontal="center" vertical="top"/>
    </xf>
    <xf numFmtId="0" fontId="94" fillId="2" borderId="5" xfId="0" applyFont="1" applyFill="1" applyBorder="1" applyAlignment="1">
      <alignment horizontal="center" vertical="top"/>
    </xf>
    <xf numFmtId="0" fontId="94" fillId="2" borderId="10" xfId="0" applyFont="1" applyFill="1" applyBorder="1" applyAlignment="1">
      <alignment vertical="top"/>
    </xf>
    <xf numFmtId="0" fontId="94" fillId="2" borderId="5" xfId="0" applyFont="1" applyFill="1" applyBorder="1" applyAlignment="1">
      <alignment vertical="top"/>
    </xf>
    <xf numFmtId="188" fontId="94" fillId="2" borderId="5" xfId="1" applyNumberFormat="1" applyFont="1" applyFill="1" applyBorder="1" applyAlignment="1">
      <alignment vertical="top"/>
    </xf>
    <xf numFmtId="188" fontId="94" fillId="0" borderId="0" xfId="0" applyNumberFormat="1" applyFont="1"/>
    <xf numFmtId="190" fontId="72" fillId="6" borderId="5" xfId="7" applyNumberFormat="1" applyFont="1" applyFill="1" applyBorder="1" applyAlignment="1">
      <alignment horizontal="right" vertical="center" wrapText="1"/>
    </xf>
    <xf numFmtId="0" fontId="96" fillId="0" borderId="0" xfId="0" applyFont="1"/>
    <xf numFmtId="0" fontId="96" fillId="0" borderId="0" xfId="0" applyFont="1" applyAlignment="1">
      <alignment horizontal="left"/>
    </xf>
    <xf numFmtId="0" fontId="97" fillId="0" borderId="0" xfId="0" applyFont="1"/>
    <xf numFmtId="0" fontId="98" fillId="0" borderId="0" xfId="0" applyFont="1" applyAlignment="1">
      <alignment horizontal="left" readingOrder="1"/>
    </xf>
    <xf numFmtId="187" fontId="96" fillId="0" borderId="0" xfId="0" applyNumberFormat="1" applyFont="1"/>
    <xf numFmtId="0" fontId="96" fillId="0" borderId="0" xfId="0" applyFont="1" applyAlignment="1">
      <alignment horizontal="center"/>
    </xf>
    <xf numFmtId="187" fontId="96" fillId="0" borderId="0" xfId="0" applyNumberFormat="1" applyFont="1" applyAlignment="1">
      <alignment vertical="center"/>
    </xf>
    <xf numFmtId="0" fontId="96" fillId="0" borderId="2" xfId="0" applyFont="1" applyBorder="1"/>
    <xf numFmtId="0" fontId="96" fillId="0" borderId="3" xfId="0" applyFont="1" applyBorder="1"/>
    <xf numFmtId="0" fontId="96" fillId="0" borderId="4" xfId="0" applyFont="1" applyBorder="1"/>
    <xf numFmtId="0" fontId="96" fillId="0" borderId="7" xfId="0" applyFont="1" applyBorder="1"/>
    <xf numFmtId="0" fontId="96" fillId="0" borderId="8" xfId="0" applyFont="1" applyBorder="1"/>
    <xf numFmtId="0" fontId="96" fillId="0" borderId="9" xfId="0" applyFont="1" applyBorder="1"/>
    <xf numFmtId="0" fontId="96" fillId="0" borderId="5" xfId="0" applyFont="1" applyBorder="1"/>
    <xf numFmtId="0" fontId="99" fillId="0" borderId="5" xfId="0" applyFont="1" applyBorder="1" applyAlignment="1">
      <alignment horizontal="center" vertical="center" wrapText="1"/>
    </xf>
    <xf numFmtId="0" fontId="99" fillId="0" borderId="5" xfId="0" applyFont="1" applyBorder="1" applyAlignment="1">
      <alignment horizontal="center" vertical="top" wrapText="1"/>
    </xf>
    <xf numFmtId="188" fontId="99" fillId="0" borderId="5" xfId="1" applyNumberFormat="1" applyFont="1" applyFill="1" applyBorder="1" applyAlignment="1">
      <alignment horizontal="center" vertical="top" wrapText="1"/>
    </xf>
    <xf numFmtId="0" fontId="99" fillId="0" borderId="10" xfId="0" applyFont="1" applyBorder="1" applyAlignment="1">
      <alignment horizontal="center" vertical="top" wrapText="1"/>
    </xf>
    <xf numFmtId="0" fontId="96" fillId="0" borderId="5" xfId="0" applyFont="1" applyBorder="1" applyAlignment="1">
      <alignment horizontal="center" vertical="top"/>
    </xf>
    <xf numFmtId="0" fontId="99" fillId="0" borderId="10" xfId="0" applyFont="1" applyBorder="1" applyAlignment="1">
      <alignment horizontal="center" vertical="center" wrapText="1"/>
    </xf>
    <xf numFmtId="188" fontId="99" fillId="0" borderId="10" xfId="1" applyNumberFormat="1" applyFont="1" applyFill="1" applyBorder="1" applyAlignment="1">
      <alignment horizontal="center" vertical="center" wrapText="1"/>
    </xf>
    <xf numFmtId="0" fontId="99" fillId="0" borderId="6" xfId="0" applyFont="1" applyBorder="1" applyAlignment="1">
      <alignment horizontal="center" vertical="top" wrapText="1"/>
    </xf>
    <xf numFmtId="0" fontId="96" fillId="0" borderId="5" xfId="0" applyFont="1" applyBorder="1" applyAlignment="1">
      <alignment horizontal="center" vertical="center"/>
    </xf>
    <xf numFmtId="0" fontId="99" fillId="0" borderId="5" xfId="0" applyFont="1" applyBorder="1" applyAlignment="1">
      <alignment horizontal="left" vertical="top" wrapText="1"/>
    </xf>
    <xf numFmtId="0" fontId="99" fillId="0" borderId="5" xfId="0" applyFont="1" applyBorder="1" applyAlignment="1">
      <alignment vertical="top" wrapText="1"/>
    </xf>
    <xf numFmtId="188" fontId="99" fillId="0" borderId="5" xfId="1" applyNumberFormat="1" applyFont="1" applyFill="1" applyBorder="1" applyAlignment="1">
      <alignment horizontal="center" vertical="center" wrapText="1"/>
    </xf>
    <xf numFmtId="188" fontId="96" fillId="0" borderId="5" xfId="1" applyNumberFormat="1" applyFont="1" applyFill="1" applyBorder="1" applyAlignment="1">
      <alignment vertical="top" wrapText="1"/>
    </xf>
    <xf numFmtId="0" fontId="96" fillId="0" borderId="5" xfId="0" applyFont="1" applyBorder="1" applyAlignment="1">
      <alignment vertical="top"/>
    </xf>
    <xf numFmtId="0" fontId="96" fillId="0" borderId="5" xfId="0" applyFont="1" applyBorder="1" applyAlignment="1">
      <alignment vertical="top" wrapText="1"/>
    </xf>
    <xf numFmtId="188" fontId="96" fillId="0" borderId="5" xfId="1" applyNumberFormat="1" applyFont="1" applyFill="1" applyBorder="1" applyAlignment="1">
      <alignment vertical="top"/>
    </xf>
    <xf numFmtId="3" fontId="99" fillId="0" borderId="5" xfId="0" applyNumberFormat="1" applyFont="1" applyBorder="1" applyAlignment="1">
      <alignment horizontal="center" vertical="center" wrapText="1"/>
    </xf>
    <xf numFmtId="188" fontId="96" fillId="0" borderId="5" xfId="1" applyNumberFormat="1" applyFont="1" applyFill="1" applyBorder="1" applyAlignment="1">
      <alignment horizontal="center" vertical="center"/>
    </xf>
    <xf numFmtId="3" fontId="96" fillId="0" borderId="5" xfId="0" applyNumberFormat="1" applyFont="1" applyBorder="1" applyAlignment="1">
      <alignment horizontal="center" vertical="center"/>
    </xf>
    <xf numFmtId="188" fontId="96" fillId="0" borderId="5" xfId="1" applyNumberFormat="1" applyFont="1" applyFill="1" applyBorder="1" applyAlignment="1">
      <alignment horizontal="center" vertical="center" wrapText="1"/>
    </xf>
    <xf numFmtId="0" fontId="96" fillId="0" borderId="5" xfId="0" applyFont="1" applyBorder="1" applyAlignment="1">
      <alignment horizontal="center" vertical="top" wrapText="1"/>
    </xf>
    <xf numFmtId="0" fontId="96" fillId="0" borderId="1" xfId="0" applyFont="1" applyBorder="1" applyAlignment="1">
      <alignment vertical="top" wrapText="1"/>
    </xf>
    <xf numFmtId="188" fontId="99" fillId="0" borderId="5" xfId="1" applyNumberFormat="1" applyFont="1" applyFill="1" applyBorder="1" applyAlignment="1">
      <alignment horizontal="center" vertical="top" textRotation="90" wrapText="1"/>
    </xf>
    <xf numFmtId="0" fontId="99" fillId="0" borderId="13" xfId="0" applyFont="1" applyBorder="1" applyAlignment="1">
      <alignment horizontal="left" vertical="top" wrapText="1"/>
    </xf>
    <xf numFmtId="0" fontId="96" fillId="0" borderId="6" xfId="0" applyFont="1" applyBorder="1" applyAlignment="1">
      <alignment vertical="top" wrapText="1"/>
    </xf>
    <xf numFmtId="0" fontId="99" fillId="0" borderId="10" xfId="0" applyFont="1" applyBorder="1" applyAlignment="1">
      <alignment vertical="top" wrapText="1"/>
    </xf>
    <xf numFmtId="0" fontId="96" fillId="0" borderId="10" xfId="0" applyFont="1" applyBorder="1" applyAlignment="1">
      <alignment vertical="top" wrapText="1"/>
    </xf>
    <xf numFmtId="188" fontId="96" fillId="0" borderId="5" xfId="1" applyNumberFormat="1" applyFont="1" applyFill="1" applyBorder="1" applyAlignment="1">
      <alignment vertical="top" textRotation="90" wrapText="1"/>
    </xf>
    <xf numFmtId="0" fontId="99" fillId="0" borderId="5" xfId="5" applyFont="1" applyBorder="1" applyAlignment="1">
      <alignment vertical="top" wrapText="1"/>
    </xf>
    <xf numFmtId="0" fontId="96" fillId="0" borderId="13" xfId="0" applyFont="1" applyBorder="1" applyAlignment="1">
      <alignment vertical="top" wrapText="1"/>
    </xf>
    <xf numFmtId="49" fontId="99" fillId="0" borderId="5" xfId="0" applyNumberFormat="1" applyFont="1" applyBorder="1" applyAlignment="1">
      <alignment horizontal="center" vertical="top" wrapText="1"/>
    </xf>
    <xf numFmtId="0" fontId="96" fillId="0" borderId="5" xfId="0" applyFont="1" applyBorder="1" applyAlignment="1">
      <alignment horizontal="left" vertical="top" wrapText="1"/>
    </xf>
    <xf numFmtId="188" fontId="96" fillId="0" borderId="5" xfId="1" applyNumberFormat="1" applyFont="1" applyFill="1" applyBorder="1" applyAlignment="1">
      <alignment vertical="top" textRotation="90"/>
    </xf>
    <xf numFmtId="0" fontId="96" fillId="0" borderId="5" xfId="0" applyFont="1" applyBorder="1" applyAlignment="1">
      <alignment vertical="center" wrapText="1"/>
    </xf>
    <xf numFmtId="0" fontId="96" fillId="0" borderId="5" xfId="0" applyFont="1" applyBorder="1" applyAlignment="1">
      <alignment wrapText="1"/>
    </xf>
    <xf numFmtId="0" fontId="99" fillId="0" borderId="10" xfId="5" applyFont="1" applyBorder="1" applyAlignment="1">
      <alignment vertical="top" wrapText="1"/>
    </xf>
    <xf numFmtId="3" fontId="99" fillId="0" borderId="5" xfId="0" applyNumberFormat="1" applyFont="1" applyBorder="1" applyAlignment="1">
      <alignment horizontal="center" vertical="top" wrapText="1"/>
    </xf>
    <xf numFmtId="49" fontId="99" fillId="0" borderId="1" xfId="0" applyNumberFormat="1" applyFont="1" applyBorder="1" applyAlignment="1">
      <alignment vertical="top" wrapText="1"/>
    </xf>
    <xf numFmtId="0" fontId="96" fillId="0" borderId="13" xfId="0" applyFont="1" applyBorder="1" applyAlignment="1">
      <alignment vertical="top"/>
    </xf>
    <xf numFmtId="0" fontId="99" fillId="0" borderId="5" xfId="6" applyFont="1" applyBorder="1" applyAlignment="1">
      <alignment horizontal="left" vertical="top" wrapText="1"/>
    </xf>
    <xf numFmtId="0" fontId="99" fillId="0" borderId="5" xfId="6" applyFont="1" applyBorder="1" applyAlignment="1">
      <alignment vertical="top" wrapText="1"/>
    </xf>
    <xf numFmtId="0" fontId="99" fillId="0" borderId="5" xfId="6" applyFont="1" applyBorder="1" applyAlignment="1">
      <alignment horizontal="center" vertical="top" wrapText="1"/>
    </xf>
    <xf numFmtId="188" fontId="99" fillId="0" borderId="5" xfId="7" applyNumberFormat="1" applyFont="1" applyFill="1" applyBorder="1" applyAlignment="1">
      <alignment horizontal="center" vertical="top" wrapText="1"/>
    </xf>
    <xf numFmtId="188" fontId="96" fillId="0" borderId="5" xfId="7" applyNumberFormat="1" applyFont="1" applyFill="1" applyBorder="1" applyAlignment="1">
      <alignment vertical="top"/>
    </xf>
    <xf numFmtId="188" fontId="99" fillId="0" borderId="5" xfId="7" applyNumberFormat="1" applyFont="1" applyFill="1" applyBorder="1" applyAlignment="1">
      <alignment horizontal="left" vertical="top" wrapText="1"/>
    </xf>
    <xf numFmtId="188" fontId="99" fillId="0" borderId="5" xfId="7" applyNumberFormat="1" applyFont="1" applyFill="1" applyBorder="1" applyAlignment="1">
      <alignment vertical="top" wrapText="1"/>
    </xf>
    <xf numFmtId="0" fontId="99" fillId="0" borderId="13" xfId="6" applyFont="1" applyBorder="1" applyAlignment="1">
      <alignment horizontal="left" vertical="top" wrapText="1"/>
    </xf>
    <xf numFmtId="188" fontId="99" fillId="0" borderId="5" xfId="1" applyNumberFormat="1" applyFont="1" applyFill="1" applyBorder="1" applyAlignment="1">
      <alignment vertical="top"/>
    </xf>
    <xf numFmtId="188" fontId="96" fillId="0" borderId="5" xfId="1" applyNumberFormat="1" applyFont="1" applyFill="1" applyBorder="1" applyAlignment="1">
      <alignment horizontal="center" vertical="top"/>
    </xf>
    <xf numFmtId="188" fontId="96" fillId="0" borderId="1" xfId="1" applyNumberFormat="1" applyFont="1" applyFill="1" applyBorder="1" applyAlignment="1">
      <alignment horizontal="center" vertical="top"/>
    </xf>
    <xf numFmtId="188" fontId="99" fillId="0" borderId="10" xfId="1" applyNumberFormat="1" applyFont="1" applyFill="1" applyBorder="1" applyAlignment="1">
      <alignment vertical="center" wrapText="1"/>
    </xf>
    <xf numFmtId="188" fontId="96" fillId="0" borderId="5" xfId="1" applyNumberFormat="1" applyFont="1" applyFill="1" applyBorder="1" applyAlignment="1">
      <alignment horizontal="center" vertical="top" wrapText="1"/>
    </xf>
    <xf numFmtId="0" fontId="100" fillId="0" borderId="5" xfId="0" applyFont="1" applyBorder="1" applyAlignment="1">
      <alignment horizontal="center" vertical="top" wrapText="1"/>
    </xf>
    <xf numFmtId="188" fontId="99" fillId="0" borderId="5" xfId="8" applyNumberFormat="1" applyFont="1" applyFill="1" applyBorder="1" applyAlignment="1">
      <alignment horizontal="center" vertical="top" wrapText="1"/>
    </xf>
    <xf numFmtId="188" fontId="96" fillId="0" borderId="5" xfId="8" applyNumberFormat="1" applyFont="1" applyFill="1" applyBorder="1" applyAlignment="1">
      <alignment vertical="top"/>
    </xf>
    <xf numFmtId="190" fontId="99" fillId="0" borderId="5" xfId="8" applyNumberFormat="1" applyFont="1" applyFill="1" applyBorder="1" applyAlignment="1">
      <alignment horizontal="center" vertical="top" wrapText="1"/>
    </xf>
    <xf numFmtId="190" fontId="99" fillId="0" borderId="5" xfId="8" applyNumberFormat="1" applyFont="1" applyFill="1" applyBorder="1" applyAlignment="1">
      <alignment horizontal="left" vertical="top" wrapText="1"/>
    </xf>
    <xf numFmtId="0" fontId="99" fillId="0" borderId="1" xfId="0" applyFont="1" applyBorder="1" applyAlignment="1">
      <alignment horizontal="left" vertical="top" wrapText="1"/>
    </xf>
    <xf numFmtId="0" fontId="99" fillId="0" borderId="1" xfId="0" applyFont="1" applyBorder="1" applyAlignment="1">
      <alignment vertical="top" wrapText="1"/>
    </xf>
    <xf numFmtId="0" fontId="99" fillId="0" borderId="1" xfId="0" applyFont="1" applyBorder="1" applyAlignment="1">
      <alignment horizontal="center" vertical="top" wrapText="1"/>
    </xf>
    <xf numFmtId="0" fontId="100" fillId="0" borderId="1" xfId="0" applyFont="1" applyBorder="1" applyAlignment="1">
      <alignment horizontal="center" vertical="top" wrapText="1"/>
    </xf>
    <xf numFmtId="188" fontId="99" fillId="0" borderId="1" xfId="8" applyNumberFormat="1" applyFont="1" applyFill="1" applyBorder="1" applyAlignment="1">
      <alignment horizontal="center" vertical="top" wrapText="1"/>
    </xf>
    <xf numFmtId="188" fontId="96" fillId="0" borderId="1" xfId="8" applyNumberFormat="1" applyFont="1" applyFill="1" applyBorder="1" applyAlignment="1">
      <alignment vertical="top"/>
    </xf>
    <xf numFmtId="190" fontId="99" fillId="0" borderId="1" xfId="8" applyNumberFormat="1" applyFont="1" applyFill="1" applyBorder="1" applyAlignment="1">
      <alignment horizontal="center" vertical="top" wrapText="1"/>
    </xf>
    <xf numFmtId="190" fontId="99" fillId="0" borderId="1" xfId="8" applyNumberFormat="1" applyFont="1" applyFill="1" applyBorder="1" applyAlignment="1">
      <alignment horizontal="left" vertical="top" wrapText="1"/>
    </xf>
    <xf numFmtId="0" fontId="99" fillId="0" borderId="6" xfId="0" applyFont="1" applyBorder="1" applyAlignment="1">
      <alignment horizontal="left" vertical="top" wrapText="1"/>
    </xf>
    <xf numFmtId="0" fontId="99" fillId="0" borderId="6" xfId="0" applyFont="1" applyBorder="1" applyAlignment="1">
      <alignment vertical="top" wrapText="1"/>
    </xf>
    <xf numFmtId="190" fontId="99" fillId="0" borderId="6" xfId="8" applyNumberFormat="1" applyFont="1" applyFill="1" applyBorder="1" applyAlignment="1">
      <alignment horizontal="center" vertical="top" wrapText="1"/>
    </xf>
    <xf numFmtId="190" fontId="99" fillId="0" borderId="6" xfId="8" applyNumberFormat="1" applyFont="1" applyFill="1" applyBorder="1" applyAlignment="1">
      <alignment horizontal="left" vertical="top" wrapText="1"/>
    </xf>
    <xf numFmtId="188" fontId="99" fillId="0" borderId="6" xfId="8" applyNumberFormat="1" applyFont="1" applyFill="1" applyBorder="1" applyAlignment="1">
      <alignment horizontal="center" vertical="top" wrapText="1"/>
    </xf>
    <xf numFmtId="0" fontId="99" fillId="0" borderId="10" xfId="0" applyFont="1" applyBorder="1" applyAlignment="1">
      <alignment horizontal="left" vertical="top" wrapText="1"/>
    </xf>
    <xf numFmtId="190" fontId="99" fillId="0" borderId="10" xfId="8" applyNumberFormat="1" applyFont="1" applyFill="1" applyBorder="1" applyAlignment="1">
      <alignment horizontal="center" vertical="top" wrapText="1"/>
    </xf>
    <xf numFmtId="190" fontId="99" fillId="0" borderId="10" xfId="8" applyNumberFormat="1" applyFont="1" applyFill="1" applyBorder="1" applyAlignment="1">
      <alignment horizontal="left" vertical="top" wrapText="1"/>
    </xf>
    <xf numFmtId="188" fontId="99" fillId="0" borderId="10" xfId="8" applyNumberFormat="1" applyFont="1" applyFill="1" applyBorder="1" applyAlignment="1">
      <alignment horizontal="center" vertical="top" wrapText="1"/>
    </xf>
    <xf numFmtId="0" fontId="99" fillId="0" borderId="9" xfId="0" applyFont="1" applyBorder="1" applyAlignment="1">
      <alignment horizontal="left" vertical="top" wrapText="1"/>
    </xf>
    <xf numFmtId="0" fontId="99" fillId="0" borderId="1" xfId="0" applyFont="1" applyBorder="1" applyAlignment="1">
      <alignment horizontal="center" vertical="center" wrapText="1"/>
    </xf>
    <xf numFmtId="0" fontId="96" fillId="0" borderId="10" xfId="0" applyFont="1" applyBorder="1" applyAlignment="1">
      <alignment horizontal="center" vertical="center"/>
    </xf>
    <xf numFmtId="0" fontId="99" fillId="0" borderId="0" xfId="0" applyFont="1" applyAlignment="1">
      <alignment horizontal="left" vertical="top" wrapText="1"/>
    </xf>
    <xf numFmtId="188" fontId="99" fillId="0" borderId="6" xfId="1" applyNumberFormat="1" applyFont="1" applyFill="1" applyBorder="1" applyAlignment="1">
      <alignment horizontal="center" vertical="top" wrapText="1"/>
    </xf>
    <xf numFmtId="0" fontId="99" fillId="0" borderId="6" xfId="0" applyFont="1" applyBorder="1" applyAlignment="1">
      <alignment horizontal="center" vertical="center" wrapText="1"/>
    </xf>
    <xf numFmtId="188" fontId="99" fillId="0" borderId="1" xfId="1" applyNumberFormat="1" applyFont="1" applyFill="1" applyBorder="1" applyAlignment="1">
      <alignment horizontal="center" vertical="top" wrapText="1"/>
    </xf>
    <xf numFmtId="188" fontId="99" fillId="0" borderId="10" xfId="1" applyNumberFormat="1" applyFont="1" applyFill="1" applyBorder="1" applyAlignment="1">
      <alignment horizontal="center" vertical="top" wrapText="1"/>
    </xf>
    <xf numFmtId="0" fontId="99" fillId="0" borderId="12" xfId="0" applyFont="1" applyBorder="1" applyAlignment="1">
      <alignment horizontal="left" vertical="top" wrapText="1"/>
    </xf>
    <xf numFmtId="188" fontId="99" fillId="0" borderId="5" xfId="1" applyNumberFormat="1" applyFont="1" applyFill="1" applyBorder="1" applyAlignment="1">
      <alignment vertical="center" wrapText="1"/>
    </xf>
    <xf numFmtId="0" fontId="96" fillId="0" borderId="0" xfId="0" applyFont="1" applyAlignment="1">
      <alignment vertical="top" wrapText="1"/>
    </xf>
    <xf numFmtId="0" fontId="96" fillId="0" borderId="6" xfId="0" applyFont="1" applyBorder="1" applyAlignment="1">
      <alignment horizontal="center" vertical="top" wrapText="1"/>
    </xf>
    <xf numFmtId="188" fontId="99" fillId="0" borderId="6" xfId="1" applyNumberFormat="1" applyFont="1" applyFill="1" applyBorder="1" applyAlignment="1">
      <alignment vertical="center" wrapText="1"/>
    </xf>
    <xf numFmtId="188" fontId="99" fillId="0" borderId="6" xfId="1" applyNumberFormat="1" applyFont="1" applyFill="1" applyBorder="1" applyAlignment="1">
      <alignment horizontal="center" vertical="center" wrapText="1"/>
    </xf>
    <xf numFmtId="3" fontId="96" fillId="0" borderId="5" xfId="0" applyNumberFormat="1" applyFont="1" applyBorder="1" applyAlignment="1">
      <alignment horizontal="center" vertical="center" wrapText="1"/>
    </xf>
    <xf numFmtId="0" fontId="96" fillId="0" borderId="5" xfId="0" applyFont="1" applyBorder="1" applyAlignment="1">
      <alignment vertical="center"/>
    </xf>
    <xf numFmtId="188" fontId="96" fillId="0" borderId="5" xfId="1" applyNumberFormat="1" applyFont="1" applyFill="1" applyBorder="1" applyAlignment="1">
      <alignment vertical="center"/>
    </xf>
    <xf numFmtId="0" fontId="96" fillId="0" borderId="13" xfId="0" applyFont="1" applyBorder="1" applyAlignment="1">
      <alignment horizontal="left" vertical="top" wrapText="1"/>
    </xf>
    <xf numFmtId="0" fontId="96" fillId="0" borderId="5" xfId="0" applyFont="1" applyBorder="1" applyAlignment="1">
      <alignment horizontal="left"/>
    </xf>
    <xf numFmtId="188" fontId="96" fillId="0" borderId="5" xfId="1" applyNumberFormat="1" applyFont="1" applyFill="1" applyBorder="1" applyAlignment="1">
      <alignment horizontal="right" vertical="center"/>
    </xf>
    <xf numFmtId="0" fontId="96" fillId="0" borderId="1" xfId="0" applyFont="1" applyBorder="1" applyAlignment="1">
      <alignment horizontal="center" vertical="top" wrapText="1"/>
    </xf>
    <xf numFmtId="3" fontId="96" fillId="0" borderId="5" xfId="0" applyNumberFormat="1" applyFont="1" applyBorder="1" applyAlignment="1">
      <alignment vertical="center"/>
    </xf>
    <xf numFmtId="3" fontId="96" fillId="0" borderId="5" xfId="0" applyNumberFormat="1" applyFont="1" applyBorder="1" applyAlignment="1">
      <alignment horizontal="left"/>
    </xf>
    <xf numFmtId="188" fontId="96" fillId="0" borderId="5" xfId="1" applyNumberFormat="1" applyFont="1" applyFill="1" applyBorder="1" applyAlignment="1">
      <alignment horizontal="right" vertical="top" wrapText="1"/>
    </xf>
    <xf numFmtId="188" fontId="96" fillId="0" borderId="0" xfId="0" applyNumberFormat="1" applyFont="1"/>
    <xf numFmtId="0" fontId="96" fillId="6" borderId="5" xfId="0" applyFont="1" applyFill="1" applyBorder="1"/>
    <xf numFmtId="0" fontId="96" fillId="6" borderId="5" xfId="0" applyFont="1" applyFill="1" applyBorder="1" applyAlignment="1">
      <alignment vertical="top"/>
    </xf>
    <xf numFmtId="0" fontId="99" fillId="6" borderId="5" xfId="0" applyFont="1" applyFill="1" applyBorder="1" applyAlignment="1">
      <alignment horizontal="center" vertical="top" wrapText="1"/>
    </xf>
    <xf numFmtId="0" fontId="96" fillId="6" borderId="5" xfId="0" applyFont="1" applyFill="1" applyBorder="1" applyAlignment="1">
      <alignment vertical="top" wrapText="1"/>
    </xf>
    <xf numFmtId="188" fontId="96" fillId="6" borderId="5" xfId="1" applyNumberFormat="1" applyFont="1" applyFill="1" applyBorder="1" applyAlignment="1">
      <alignment vertical="top" wrapText="1"/>
    </xf>
    <xf numFmtId="188" fontId="96" fillId="6" borderId="5" xfId="1" applyNumberFormat="1" applyFont="1" applyFill="1" applyBorder="1" applyAlignment="1">
      <alignment vertical="top"/>
    </xf>
    <xf numFmtId="0" fontId="99" fillId="6" borderId="5" xfId="0" applyFont="1" applyFill="1" applyBorder="1" applyAlignment="1">
      <alignment horizontal="center" vertical="center" wrapText="1"/>
    </xf>
    <xf numFmtId="0" fontId="96" fillId="6" borderId="5" xfId="0" applyFont="1" applyFill="1" applyBorder="1" applyAlignment="1">
      <alignment horizontal="center" vertical="top"/>
    </xf>
    <xf numFmtId="0" fontId="100" fillId="6" borderId="5" xfId="0" applyFont="1" applyFill="1" applyBorder="1" applyAlignment="1">
      <alignment horizontal="left" vertical="top"/>
    </xf>
    <xf numFmtId="0" fontId="99" fillId="6" borderId="10" xfId="0" applyFont="1" applyFill="1" applyBorder="1" applyAlignment="1">
      <alignment horizontal="center" vertical="center" wrapText="1"/>
    </xf>
    <xf numFmtId="188" fontId="99" fillId="6" borderId="5" xfId="1" applyNumberFormat="1" applyFont="1" applyFill="1" applyBorder="1" applyAlignment="1">
      <alignment horizontal="center" vertical="top" wrapText="1"/>
    </xf>
    <xf numFmtId="188" fontId="99" fillId="6" borderId="10" xfId="1" applyNumberFormat="1" applyFont="1" applyFill="1" applyBorder="1" applyAlignment="1">
      <alignment horizontal="center" vertical="center" wrapText="1"/>
    </xf>
    <xf numFmtId="0" fontId="99" fillId="6" borderId="10" xfId="0" applyFont="1" applyFill="1" applyBorder="1" applyAlignment="1">
      <alignment horizontal="center" vertical="top" wrapText="1"/>
    </xf>
    <xf numFmtId="0" fontId="99" fillId="6" borderId="6" xfId="0" applyFont="1" applyFill="1" applyBorder="1" applyAlignment="1">
      <alignment horizontal="center" vertical="top" wrapText="1"/>
    </xf>
    <xf numFmtId="0" fontId="96" fillId="6" borderId="5" xfId="0" applyFont="1" applyFill="1" applyBorder="1" applyAlignment="1">
      <alignment horizontal="center" vertical="center"/>
    </xf>
    <xf numFmtId="0" fontId="19" fillId="0" borderId="0" xfId="0" applyFont="1" applyAlignment="1">
      <alignment vertical="top"/>
    </xf>
    <xf numFmtId="0" fontId="19" fillId="0" borderId="0" xfId="0" applyFont="1" applyAlignment="1">
      <alignment horizontal="center" vertical="top"/>
    </xf>
    <xf numFmtId="0" fontId="20" fillId="0" borderId="0" xfId="0" applyFont="1" applyAlignment="1">
      <alignment vertical="top"/>
    </xf>
    <xf numFmtId="187" fontId="19" fillId="0" borderId="0" xfId="0" applyNumberFormat="1" applyFont="1" applyAlignment="1">
      <alignment vertical="top"/>
    </xf>
    <xf numFmtId="187" fontId="19" fillId="0" borderId="0" xfId="0" applyNumberFormat="1" applyFont="1" applyAlignment="1">
      <alignment horizontal="center" vertical="top"/>
    </xf>
    <xf numFmtId="187" fontId="19" fillId="0" borderId="0" xfId="0" applyNumberFormat="1" applyFont="1" applyAlignment="1">
      <alignment horizontal="left" vertical="top" wrapText="1"/>
    </xf>
    <xf numFmtId="0" fontId="19" fillId="0" borderId="0" xfId="0" applyFont="1" applyAlignment="1">
      <alignment horizontal="left" vertical="top" wrapText="1"/>
    </xf>
    <xf numFmtId="188" fontId="19" fillId="0" borderId="5" xfId="0" applyNumberFormat="1" applyFont="1" applyBorder="1" applyAlignment="1">
      <alignment horizontal="center" vertical="top"/>
    </xf>
    <xf numFmtId="0" fontId="67" fillId="0" borderId="5" xfId="0" applyFont="1" applyBorder="1" applyAlignment="1">
      <alignment horizontal="center" vertical="top" wrapText="1"/>
    </xf>
    <xf numFmtId="188" fontId="67" fillId="0" borderId="5" xfId="1" applyNumberFormat="1" applyFont="1" applyFill="1" applyBorder="1" applyAlignment="1">
      <alignment horizontal="center" vertical="top" wrapText="1"/>
    </xf>
    <xf numFmtId="0" fontId="67" fillId="0" borderId="9" xfId="0" applyFont="1" applyBorder="1" applyAlignment="1">
      <alignment horizontal="center" vertical="top" wrapText="1"/>
    </xf>
    <xf numFmtId="0" fontId="67" fillId="0" borderId="10" xfId="0" applyFont="1" applyBorder="1" applyAlignment="1">
      <alignment horizontal="center" vertical="top" wrapText="1"/>
    </xf>
    <xf numFmtId="0" fontId="20" fillId="0" borderId="5" xfId="0" applyFont="1" applyBorder="1" applyAlignment="1">
      <alignment horizontal="left" vertical="top" indent="1"/>
    </xf>
    <xf numFmtId="0" fontId="20" fillId="0" borderId="5" xfId="0" applyFont="1" applyBorder="1" applyAlignment="1">
      <alignment horizontal="center" vertical="top"/>
    </xf>
    <xf numFmtId="0" fontId="69" fillId="0" borderId="5" xfId="0" applyFont="1" applyBorder="1" applyAlignment="1">
      <alignment horizontal="left" vertical="top" wrapText="1" indent="1"/>
    </xf>
    <xf numFmtId="188" fontId="69" fillId="0" borderId="5" xfId="1" applyNumberFormat="1" applyFont="1" applyFill="1" applyBorder="1" applyAlignment="1">
      <alignment horizontal="left" vertical="top" wrapText="1" indent="1"/>
    </xf>
    <xf numFmtId="188" fontId="68" fillId="0" borderId="5" xfId="1" applyNumberFormat="1" applyFont="1" applyFill="1" applyBorder="1" applyAlignment="1">
      <alignment horizontal="left" vertical="top" indent="1"/>
    </xf>
    <xf numFmtId="188" fontId="69" fillId="0" borderId="13" xfId="1" applyNumberFormat="1" applyFont="1" applyFill="1" applyBorder="1" applyAlignment="1">
      <alignment horizontal="left" vertical="top" wrapText="1" indent="1"/>
    </xf>
    <xf numFmtId="188" fontId="20" fillId="0" borderId="5" xfId="1" applyNumberFormat="1" applyFont="1" applyFill="1" applyBorder="1" applyAlignment="1">
      <alignment horizontal="left" vertical="top" indent="1"/>
    </xf>
    <xf numFmtId="0" fontId="20" fillId="0" borderId="0" xfId="0" applyFont="1" applyAlignment="1">
      <alignment horizontal="center" vertical="top"/>
    </xf>
    <xf numFmtId="188" fontId="69" fillId="0" borderId="5" xfId="0" applyNumberFormat="1" applyFont="1" applyBorder="1" applyAlignment="1">
      <alignment horizontal="left" vertical="top" wrapText="1" indent="1"/>
    </xf>
    <xf numFmtId="188" fontId="20" fillId="0" borderId="5" xfId="0" applyNumberFormat="1" applyFont="1" applyBorder="1" applyAlignment="1">
      <alignment horizontal="left" vertical="top" wrapText="1" indent="1"/>
    </xf>
    <xf numFmtId="188" fontId="68" fillId="0" borderId="5" xfId="1" applyNumberFormat="1" applyFont="1" applyFill="1" applyBorder="1" applyAlignment="1">
      <alignment horizontal="left" vertical="top" wrapText="1" indent="1"/>
    </xf>
    <xf numFmtId="188" fontId="20" fillId="0" borderId="5" xfId="0" applyNumberFormat="1" applyFont="1" applyBorder="1" applyAlignment="1">
      <alignment horizontal="left" vertical="top" indent="1"/>
    </xf>
    <xf numFmtId="0" fontId="20" fillId="0" borderId="12" xfId="0" applyFont="1" applyBorder="1" applyAlignment="1">
      <alignment horizontal="left" vertical="top" indent="1"/>
    </xf>
    <xf numFmtId="188" fontId="20" fillId="0" borderId="13" xfId="0" applyNumberFormat="1" applyFont="1" applyBorder="1" applyAlignment="1">
      <alignment horizontal="left" vertical="top" wrapText="1" indent="1"/>
    </xf>
    <xf numFmtId="188" fontId="20" fillId="0" borderId="5" xfId="1" applyNumberFormat="1" applyFont="1" applyFill="1" applyBorder="1" applyAlignment="1">
      <alignment horizontal="left" vertical="top" wrapText="1" indent="1"/>
    </xf>
    <xf numFmtId="0" fontId="20" fillId="0" borderId="5" xfId="0" applyFont="1" applyBorder="1" applyAlignment="1">
      <alignment horizontal="left" vertical="top" wrapText="1" indent="1"/>
    </xf>
    <xf numFmtId="0" fontId="68" fillId="0" borderId="5" xfId="0" applyFont="1" applyBorder="1" applyAlignment="1">
      <alignment horizontal="left" vertical="top" indent="1"/>
    </xf>
    <xf numFmtId="188" fontId="68" fillId="0" borderId="5" xfId="1" applyNumberFormat="1" applyFont="1" applyFill="1" applyBorder="1" applyAlignment="1">
      <alignment horizontal="center" vertical="top"/>
    </xf>
    <xf numFmtId="3" fontId="20" fillId="0" borderId="5" xfId="0" applyNumberFormat="1" applyFont="1" applyBorder="1" applyAlignment="1">
      <alignment vertical="top"/>
    </xf>
    <xf numFmtId="0" fontId="20" fillId="0" borderId="5" xfId="0" applyFont="1" applyBorder="1" applyAlignment="1">
      <alignment vertical="top"/>
    </xf>
    <xf numFmtId="0" fontId="19" fillId="0" borderId="5" xfId="0" applyFont="1" applyBorder="1" applyAlignment="1">
      <alignment horizontal="center" vertical="top"/>
    </xf>
    <xf numFmtId="0" fontId="69" fillId="0" borderId="5" xfId="0" applyFont="1" applyBorder="1" applyAlignment="1">
      <alignment horizontal="left" vertical="top" wrapText="1"/>
    </xf>
    <xf numFmtId="188" fontId="68" fillId="0" borderId="5" xfId="1" applyNumberFormat="1" applyFont="1" applyFill="1" applyBorder="1" applyAlignment="1">
      <alignment horizontal="center" vertical="top" wrapText="1"/>
    </xf>
    <xf numFmtId="188" fontId="69" fillId="0" borderId="5" xfId="1" applyNumberFormat="1" applyFont="1" applyFill="1" applyBorder="1" applyAlignment="1">
      <alignment horizontal="left" vertical="top" wrapText="1"/>
    </xf>
    <xf numFmtId="3" fontId="67" fillId="0" borderId="5" xfId="0" applyNumberFormat="1" applyFont="1" applyBorder="1" applyAlignment="1">
      <alignment horizontal="center" vertical="top" wrapText="1"/>
    </xf>
    <xf numFmtId="0" fontId="20" fillId="0" borderId="10" xfId="0" applyFont="1" applyBorder="1" applyAlignment="1">
      <alignment horizontal="center" vertical="top"/>
    </xf>
    <xf numFmtId="0" fontId="69" fillId="0" borderId="10" xfId="0" applyFont="1" applyBorder="1" applyAlignment="1">
      <alignment horizontal="left" vertical="top" wrapText="1" indent="1"/>
    </xf>
    <xf numFmtId="188" fontId="68" fillId="0" borderId="10" xfId="1" applyNumberFormat="1" applyFont="1" applyFill="1" applyBorder="1" applyAlignment="1">
      <alignment horizontal="center" vertical="top" wrapText="1"/>
    </xf>
    <xf numFmtId="3" fontId="20" fillId="0" borderId="10" xfId="0" applyNumberFormat="1" applyFont="1" applyBorder="1" applyAlignment="1">
      <alignment vertical="top"/>
    </xf>
    <xf numFmtId="0" fontId="20" fillId="0" borderId="10" xfId="0" applyFont="1" applyBorder="1" applyAlignment="1">
      <alignment vertical="top"/>
    </xf>
    <xf numFmtId="3" fontId="20" fillId="0" borderId="10" xfId="0" applyNumberFormat="1" applyFont="1" applyBorder="1" applyAlignment="1">
      <alignment horizontal="center" vertical="top"/>
    </xf>
    <xf numFmtId="3" fontId="20" fillId="0" borderId="10" xfId="0" applyNumberFormat="1" applyFont="1" applyBorder="1" applyAlignment="1">
      <alignment horizontal="right" vertical="top"/>
    </xf>
    <xf numFmtId="188" fontId="69" fillId="0" borderId="10" xfId="1" applyNumberFormat="1" applyFont="1" applyFill="1" applyBorder="1" applyAlignment="1">
      <alignment horizontal="left" vertical="top" wrapText="1" indent="1"/>
    </xf>
    <xf numFmtId="0" fontId="20" fillId="0" borderId="10" xfId="0" applyFont="1" applyBorder="1" applyAlignment="1">
      <alignment horizontal="center" vertical="top" wrapText="1"/>
    </xf>
    <xf numFmtId="0" fontId="69" fillId="0" borderId="10" xfId="0" applyFont="1" applyBorder="1" applyAlignment="1">
      <alignment horizontal="left" vertical="top" wrapText="1"/>
    </xf>
    <xf numFmtId="188" fontId="104" fillId="0" borderId="5" xfId="1" applyNumberFormat="1" applyFont="1" applyFill="1" applyBorder="1" applyAlignment="1">
      <alignment horizontal="left" vertical="top" wrapText="1"/>
    </xf>
    <xf numFmtId="188" fontId="68" fillId="0" borderId="10" xfId="1" applyNumberFormat="1" applyFont="1" applyFill="1" applyBorder="1" applyAlignment="1">
      <alignment horizontal="left" vertical="top" wrapText="1"/>
    </xf>
    <xf numFmtId="0" fontId="20" fillId="0" borderId="5" xfId="0" applyFont="1" applyBorder="1" applyAlignment="1">
      <alignment horizontal="left" vertical="top"/>
    </xf>
    <xf numFmtId="0" fontId="104" fillId="0" borderId="0" xfId="0" applyFont="1" applyAlignment="1">
      <alignment vertical="top"/>
    </xf>
    <xf numFmtId="188" fontId="20" fillId="0" borderId="5" xfId="0" applyNumberFormat="1" applyFont="1" applyBorder="1" applyAlignment="1">
      <alignment horizontal="left" vertical="top" wrapText="1"/>
    </xf>
    <xf numFmtId="188" fontId="19" fillId="0" borderId="5" xfId="0" applyNumberFormat="1" applyFont="1" applyBorder="1" applyAlignment="1">
      <alignment horizontal="left" vertical="top" wrapText="1"/>
    </xf>
    <xf numFmtId="188" fontId="69" fillId="0" borderId="5" xfId="0" applyNumberFormat="1" applyFont="1" applyBorder="1" applyAlignment="1">
      <alignment horizontal="left" vertical="top" wrapText="1"/>
    </xf>
    <xf numFmtId="188" fontId="20" fillId="0" borderId="5" xfId="1" applyNumberFormat="1" applyFont="1" applyFill="1" applyBorder="1" applyAlignment="1">
      <alignment horizontal="left" vertical="top" wrapText="1"/>
    </xf>
    <xf numFmtId="188" fontId="68" fillId="0" borderId="5" xfId="1" applyNumberFormat="1" applyFont="1" applyFill="1" applyBorder="1" applyAlignment="1">
      <alignment horizontal="left" vertical="top" wrapText="1"/>
    </xf>
    <xf numFmtId="43" fontId="69" fillId="0" borderId="5" xfId="1" applyFont="1" applyFill="1" applyBorder="1" applyAlignment="1">
      <alignment horizontal="left" vertical="top" wrapText="1"/>
    </xf>
    <xf numFmtId="191" fontId="69" fillId="0" borderId="5" xfId="1" applyNumberFormat="1" applyFont="1" applyFill="1" applyBorder="1" applyAlignment="1">
      <alignment horizontal="left" vertical="top" wrapText="1"/>
    </xf>
    <xf numFmtId="188" fontId="20" fillId="0" borderId="10" xfId="0" applyNumberFormat="1" applyFont="1" applyBorder="1" applyAlignment="1">
      <alignment horizontal="left" vertical="top" wrapText="1"/>
    </xf>
    <xf numFmtId="43" fontId="20" fillId="0" borderId="5" xfId="1" applyFont="1" applyFill="1" applyBorder="1" applyAlignment="1">
      <alignment horizontal="left" vertical="top" wrapText="1"/>
    </xf>
    <xf numFmtId="188" fontId="69" fillId="0" borderId="10" xfId="0" applyNumberFormat="1" applyFont="1" applyBorder="1" applyAlignment="1">
      <alignment horizontal="left" vertical="top" wrapText="1"/>
    </xf>
    <xf numFmtId="0" fontId="20" fillId="0" borderId="10" xfId="0" applyFont="1" applyBorder="1" applyAlignment="1">
      <alignment horizontal="left" vertical="top"/>
    </xf>
    <xf numFmtId="43" fontId="69" fillId="0" borderId="10" xfId="1" applyFont="1" applyFill="1" applyBorder="1" applyAlignment="1">
      <alignment horizontal="left" vertical="top" wrapText="1"/>
    </xf>
    <xf numFmtId="43" fontId="20" fillId="0" borderId="10" xfId="1" applyFont="1" applyFill="1" applyBorder="1" applyAlignment="1">
      <alignment horizontal="left" vertical="top" wrapText="1"/>
    </xf>
    <xf numFmtId="188" fontId="69" fillId="0" borderId="10" xfId="1" applyNumberFormat="1" applyFont="1" applyFill="1" applyBorder="1" applyAlignment="1">
      <alignment horizontal="left" vertical="top" wrapText="1"/>
    </xf>
    <xf numFmtId="191" fontId="69" fillId="0" borderId="10" xfId="1" applyNumberFormat="1" applyFont="1" applyFill="1" applyBorder="1" applyAlignment="1">
      <alignment horizontal="left" vertical="top" wrapText="1"/>
    </xf>
    <xf numFmtId="188" fontId="19" fillId="0" borderId="10" xfId="0" applyNumberFormat="1" applyFont="1" applyBorder="1" applyAlignment="1">
      <alignment horizontal="left" vertical="top" wrapText="1"/>
    </xf>
    <xf numFmtId="188" fontId="104" fillId="0" borderId="5" xfId="0" applyNumberFormat="1" applyFont="1" applyBorder="1" applyAlignment="1">
      <alignment horizontal="left" vertical="top" wrapText="1"/>
    </xf>
    <xf numFmtId="43" fontId="104" fillId="0" borderId="5" xfId="1" applyFont="1" applyFill="1" applyBorder="1" applyAlignment="1">
      <alignment horizontal="left" vertical="top" wrapText="1"/>
    </xf>
    <xf numFmtId="0" fontId="69" fillId="0" borderId="5" xfId="0" applyFont="1" applyBorder="1" applyAlignment="1">
      <alignment vertical="top" wrapText="1"/>
    </xf>
    <xf numFmtId="0" fontId="69" fillId="0" borderId="5" xfId="0" applyFont="1" applyBorder="1" applyAlignment="1">
      <alignment horizontal="center" vertical="top" wrapText="1"/>
    </xf>
    <xf numFmtId="188" fontId="69" fillId="0" borderId="5" xfId="1" applyNumberFormat="1" applyFont="1" applyFill="1" applyBorder="1" applyAlignment="1">
      <alignment horizontal="center" vertical="top" wrapText="1"/>
    </xf>
    <xf numFmtId="188" fontId="69" fillId="0" borderId="5" xfId="1" applyNumberFormat="1" applyFont="1" applyFill="1" applyBorder="1" applyAlignment="1">
      <alignment vertical="top" wrapText="1"/>
    </xf>
    <xf numFmtId="0" fontId="20" fillId="0" borderId="6" xfId="0" applyFont="1" applyBorder="1" applyAlignment="1">
      <alignment horizontal="center" vertical="top"/>
    </xf>
    <xf numFmtId="188" fontId="69" fillId="0" borderId="10" xfId="1" applyNumberFormat="1" applyFont="1" applyFill="1" applyBorder="1" applyAlignment="1">
      <alignment horizontal="center" vertical="top" wrapText="1"/>
    </xf>
    <xf numFmtId="0" fontId="69" fillId="0" borderId="6" xfId="0" applyFont="1" applyBorder="1" applyAlignment="1">
      <alignment horizontal="left" vertical="top" wrapText="1"/>
    </xf>
    <xf numFmtId="0" fontId="69" fillId="0" borderId="1" xfId="0" applyFont="1" applyBorder="1" applyAlignment="1">
      <alignment vertical="top" wrapText="1"/>
    </xf>
    <xf numFmtId="188" fontId="69" fillId="0" borderId="1" xfId="1" applyNumberFormat="1" applyFont="1" applyFill="1" applyBorder="1" applyAlignment="1">
      <alignment vertical="top" wrapText="1"/>
    </xf>
    <xf numFmtId="188" fontId="69" fillId="0" borderId="1" xfId="1" applyNumberFormat="1" applyFont="1" applyFill="1" applyBorder="1" applyAlignment="1">
      <alignment horizontal="center" vertical="top" wrapText="1"/>
    </xf>
    <xf numFmtId="188" fontId="68" fillId="0" borderId="6" xfId="1" applyNumberFormat="1" applyFont="1" applyFill="1" applyBorder="1" applyAlignment="1">
      <alignment horizontal="center" vertical="top" wrapText="1"/>
    </xf>
    <xf numFmtId="188" fontId="69" fillId="0" borderId="6" xfId="1" applyNumberFormat="1" applyFont="1" applyFill="1" applyBorder="1" applyAlignment="1">
      <alignment horizontal="center" vertical="top" wrapText="1"/>
    </xf>
    <xf numFmtId="0" fontId="20" fillId="0" borderId="1" xfId="0" applyFont="1" applyBorder="1" applyAlignment="1">
      <alignment horizontal="left" vertical="top" indent="1"/>
    </xf>
    <xf numFmtId="188" fontId="69" fillId="0" borderId="5" xfId="0" applyNumberFormat="1" applyFont="1" applyBorder="1" applyAlignment="1">
      <alignment vertical="top" wrapText="1"/>
    </xf>
    <xf numFmtId="188" fontId="20" fillId="0" borderId="5" xfId="0" applyNumberFormat="1" applyFont="1" applyBorder="1" applyAlignment="1">
      <alignment vertical="top" wrapText="1"/>
    </xf>
    <xf numFmtId="0" fontId="20" fillId="0" borderId="6" xfId="0" applyFont="1" applyBorder="1" applyAlignment="1">
      <alignment horizontal="center" vertical="top" wrapText="1"/>
    </xf>
    <xf numFmtId="188" fontId="69" fillId="0" borderId="6" xfId="0" applyNumberFormat="1" applyFont="1" applyBorder="1" applyAlignment="1">
      <alignment vertical="top" wrapText="1"/>
    </xf>
    <xf numFmtId="188" fontId="69" fillId="0" borderId="10" xfId="0" applyNumberFormat="1" applyFont="1" applyBorder="1" applyAlignment="1">
      <alignment vertical="top" wrapText="1"/>
    </xf>
    <xf numFmtId="188" fontId="69" fillId="0" borderId="10" xfId="1" applyNumberFormat="1" applyFont="1" applyFill="1" applyBorder="1" applyAlignment="1">
      <alignment vertical="top" wrapText="1"/>
    </xf>
    <xf numFmtId="188" fontId="68" fillId="0" borderId="10" xfId="1" applyNumberFormat="1" applyFont="1" applyFill="1" applyBorder="1" applyAlignment="1">
      <alignment vertical="top" wrapText="1"/>
    </xf>
    <xf numFmtId="188" fontId="20" fillId="0" borderId="10" xfId="0" applyNumberFormat="1" applyFont="1" applyBorder="1" applyAlignment="1">
      <alignment horizontal="center" vertical="top" wrapText="1"/>
    </xf>
    <xf numFmtId="188" fontId="20" fillId="0" borderId="10" xfId="0" applyNumberFormat="1" applyFont="1" applyBorder="1" applyAlignment="1">
      <alignment vertical="top" wrapText="1"/>
    </xf>
    <xf numFmtId="188" fontId="69" fillId="0" borderId="5" xfId="19" applyNumberFormat="1" applyFont="1" applyFill="1" applyBorder="1" applyAlignment="1">
      <alignment vertical="top" wrapText="1"/>
    </xf>
    <xf numFmtId="188" fontId="68" fillId="0" borderId="5" xfId="1" applyNumberFormat="1" applyFont="1" applyFill="1" applyBorder="1" applyAlignment="1">
      <alignment vertical="top" wrapText="1"/>
    </xf>
    <xf numFmtId="188" fontId="20" fillId="0" borderId="5" xfId="0" applyNumberFormat="1" applyFont="1" applyBorder="1" applyAlignment="1">
      <alignment horizontal="center" vertical="top" wrapText="1"/>
    </xf>
    <xf numFmtId="188" fontId="20" fillId="0" borderId="5" xfId="1" applyNumberFormat="1" applyFont="1" applyFill="1" applyBorder="1" applyAlignment="1">
      <alignment vertical="top"/>
    </xf>
    <xf numFmtId="188" fontId="68" fillId="0" borderId="5" xfId="0" applyNumberFormat="1" applyFont="1" applyBorder="1" applyAlignment="1">
      <alignment vertical="top"/>
    </xf>
    <xf numFmtId="188" fontId="69" fillId="0" borderId="5" xfId="0" applyNumberFormat="1" applyFont="1" applyBorder="1" applyAlignment="1">
      <alignment vertical="top"/>
    </xf>
    <xf numFmtId="188" fontId="69" fillId="0" borderId="5" xfId="0" applyNumberFormat="1" applyFont="1" applyBorder="1" applyAlignment="1">
      <alignment horizontal="center" vertical="top"/>
    </xf>
    <xf numFmtId="0" fontId="20" fillId="0" borderId="7" xfId="0" applyFont="1" applyBorder="1" applyAlignment="1">
      <alignment horizontal="center" vertical="top" wrapText="1"/>
    </xf>
    <xf numFmtId="188" fontId="69" fillId="0" borderId="7" xfId="0" applyNumberFormat="1" applyFont="1" applyBorder="1" applyAlignment="1">
      <alignment horizontal="left" vertical="top" wrapText="1"/>
    </xf>
    <xf numFmtId="188" fontId="69" fillId="0" borderId="10" xfId="0" applyNumberFormat="1" applyFont="1" applyBorder="1" applyAlignment="1">
      <alignment horizontal="center" vertical="top"/>
    </xf>
    <xf numFmtId="188" fontId="69" fillId="0" borderId="10" xfId="19" applyNumberFormat="1" applyFont="1" applyFill="1" applyBorder="1" applyAlignment="1">
      <alignment horizontal="center" vertical="top" wrapText="1"/>
    </xf>
    <xf numFmtId="0" fontId="20" fillId="0" borderId="5" xfId="0" applyFont="1" applyBorder="1" applyAlignment="1">
      <alignment vertical="top" wrapText="1"/>
    </xf>
    <xf numFmtId="0" fontId="20" fillId="0" borderId="1" xfId="0" applyFont="1" applyBorder="1" applyAlignment="1">
      <alignment vertical="top" wrapText="1"/>
    </xf>
    <xf numFmtId="188" fontId="68" fillId="0" borderId="5" xfId="1" applyNumberFormat="1" applyFont="1" applyFill="1" applyBorder="1" applyAlignment="1">
      <alignment vertical="top"/>
    </xf>
    <xf numFmtId="188" fontId="20" fillId="0" borderId="5" xfId="0" applyNumberFormat="1" applyFont="1" applyBorder="1" applyAlignment="1">
      <alignment vertical="top"/>
    </xf>
    <xf numFmtId="188" fontId="20" fillId="0" borderId="5" xfId="0" applyNumberFormat="1" applyFont="1" applyBorder="1" applyAlignment="1">
      <alignment horizontal="center" vertical="top"/>
    </xf>
    <xf numFmtId="0" fontId="68" fillId="0" borderId="5" xfId="0" applyFont="1" applyBorder="1" applyAlignment="1">
      <alignment vertical="top"/>
    </xf>
    <xf numFmtId="49" fontId="69" fillId="0" borderId="5" xfId="0" applyNumberFormat="1" applyFont="1" applyBorder="1" applyAlignment="1">
      <alignment horizontal="left" vertical="top" wrapText="1"/>
    </xf>
    <xf numFmtId="188" fontId="69" fillId="0" borderId="5" xfId="0" applyNumberFormat="1" applyFont="1" applyBorder="1" applyAlignment="1">
      <alignment horizontal="center" vertical="top" wrapText="1"/>
    </xf>
    <xf numFmtId="188" fontId="105" fillId="0" borderId="5" xfId="0" applyNumberFormat="1" applyFont="1" applyBorder="1" applyAlignment="1">
      <alignment vertical="top" wrapText="1"/>
    </xf>
    <xf numFmtId="3" fontId="68" fillId="0" borderId="5" xfId="1" applyNumberFormat="1" applyFont="1" applyFill="1" applyBorder="1" applyAlignment="1">
      <alignment horizontal="center" vertical="top" wrapText="1"/>
    </xf>
    <xf numFmtId="0" fontId="20" fillId="0" borderId="11" xfId="0" applyFont="1" applyBorder="1" applyAlignment="1">
      <alignment horizontal="center" vertical="top"/>
    </xf>
    <xf numFmtId="43" fontId="105" fillId="0" borderId="5" xfId="1" applyFont="1" applyFill="1" applyBorder="1" applyAlignment="1">
      <alignment vertical="top" wrapText="1"/>
    </xf>
    <xf numFmtId="188" fontId="105" fillId="0" borderId="5" xfId="1" applyNumberFormat="1" applyFont="1" applyFill="1" applyBorder="1" applyAlignment="1">
      <alignment vertical="top" wrapText="1"/>
    </xf>
    <xf numFmtId="43" fontId="105" fillId="0" borderId="5" xfId="1" applyFont="1" applyFill="1" applyBorder="1" applyAlignment="1">
      <alignment horizontal="center" vertical="top" wrapText="1"/>
    </xf>
    <xf numFmtId="3" fontId="105" fillId="0" borderId="5" xfId="1" applyNumberFormat="1" applyFont="1" applyFill="1" applyBorder="1" applyAlignment="1">
      <alignment vertical="top" wrapText="1"/>
    </xf>
    <xf numFmtId="43" fontId="105" fillId="0" borderId="11" xfId="1" applyFont="1" applyFill="1" applyBorder="1" applyAlignment="1">
      <alignment horizontal="center" vertical="top" wrapText="1"/>
    </xf>
    <xf numFmtId="188" fontId="68" fillId="0" borderId="5" xfId="19" applyNumberFormat="1" applyFont="1" applyFill="1" applyBorder="1" applyAlignment="1">
      <alignment vertical="top" wrapText="1"/>
    </xf>
    <xf numFmtId="188" fontId="69" fillId="0" borderId="0" xfId="19" applyNumberFormat="1" applyFont="1" applyFill="1" applyAlignment="1">
      <alignment vertical="top" wrapText="1"/>
    </xf>
    <xf numFmtId="188" fontId="69" fillId="0" borderId="5" xfId="19" applyNumberFormat="1" applyFont="1" applyFill="1" applyBorder="1" applyAlignment="1">
      <alignment horizontal="center" vertical="top" wrapText="1"/>
    </xf>
    <xf numFmtId="0" fontId="69" fillId="0" borderId="5" xfId="19" applyNumberFormat="1" applyFont="1" applyFill="1" applyBorder="1" applyAlignment="1">
      <alignment vertical="top" wrapText="1"/>
    </xf>
    <xf numFmtId="188" fontId="20" fillId="0" borderId="5" xfId="19" applyNumberFormat="1" applyFont="1" applyFill="1" applyBorder="1" applyAlignment="1">
      <alignment vertical="top" wrapText="1"/>
    </xf>
    <xf numFmtId="188" fontId="20" fillId="0" borderId="5" xfId="19" applyNumberFormat="1" applyFont="1" applyFill="1" applyBorder="1" applyAlignment="1">
      <alignment horizontal="center" vertical="top" wrapText="1"/>
    </xf>
    <xf numFmtId="188" fontId="104" fillId="0" borderId="5" xfId="0" applyNumberFormat="1" applyFont="1" applyBorder="1" applyAlignment="1">
      <alignment vertical="top"/>
    </xf>
    <xf numFmtId="0" fontId="20" fillId="0" borderId="5" xfId="0" applyFont="1" applyBorder="1" applyAlignment="1">
      <alignment horizontal="left" vertical="top" wrapText="1"/>
    </xf>
    <xf numFmtId="0" fontId="104" fillId="0" borderId="5" xfId="0" applyFont="1" applyBorder="1" applyAlignment="1">
      <alignment horizontal="center" vertical="top"/>
    </xf>
    <xf numFmtId="3" fontId="20" fillId="0" borderId="5" xfId="0" applyNumberFormat="1" applyFont="1" applyBorder="1" applyAlignment="1">
      <alignment horizontal="center" vertical="top"/>
    </xf>
    <xf numFmtId="0" fontId="20" fillId="0" borderId="0" xfId="0" applyFont="1" applyAlignment="1">
      <alignment horizontal="left" vertical="top" wrapText="1"/>
    </xf>
    <xf numFmtId="188" fontId="20" fillId="0" borderId="0" xfId="0" applyNumberFormat="1" applyFont="1" applyAlignment="1">
      <alignment vertical="top"/>
    </xf>
    <xf numFmtId="188" fontId="20" fillId="0" borderId="0" xfId="0" applyNumberFormat="1" applyFont="1" applyAlignment="1">
      <alignment horizontal="center" vertical="top"/>
    </xf>
    <xf numFmtId="188" fontId="104" fillId="0" borderId="0" xfId="0" applyNumberFormat="1" applyFont="1" applyAlignment="1">
      <alignment vertical="top"/>
    </xf>
    <xf numFmtId="0" fontId="20" fillId="6" borderId="5" xfId="0" applyFont="1" applyFill="1" applyBorder="1" applyAlignment="1">
      <alignment horizontal="left" vertical="top" indent="1"/>
    </xf>
    <xf numFmtId="0" fontId="20" fillId="6" borderId="5" xfId="0" applyFont="1" applyFill="1" applyBorder="1" applyAlignment="1">
      <alignment horizontal="center" vertical="top"/>
    </xf>
    <xf numFmtId="0" fontId="69" fillId="6" borderId="5" xfId="0" applyFont="1" applyFill="1" applyBorder="1" applyAlignment="1">
      <alignment horizontal="left" vertical="top" indent="1"/>
    </xf>
    <xf numFmtId="0" fontId="20" fillId="6" borderId="0" xfId="0" applyFont="1" applyFill="1" applyAlignment="1">
      <alignment vertical="top"/>
    </xf>
    <xf numFmtId="0" fontId="69" fillId="6" borderId="5" xfId="0" applyFont="1" applyFill="1" applyBorder="1" applyAlignment="1">
      <alignment horizontal="left" vertical="top" wrapText="1" indent="1"/>
    </xf>
    <xf numFmtId="188" fontId="69" fillId="6" borderId="5" xfId="1" applyNumberFormat="1" applyFont="1" applyFill="1" applyBorder="1" applyAlignment="1">
      <alignment horizontal="left" vertical="top" wrapText="1" indent="1"/>
    </xf>
    <xf numFmtId="188" fontId="68" fillId="6" borderId="5" xfId="1" applyNumberFormat="1" applyFont="1" applyFill="1" applyBorder="1" applyAlignment="1">
      <alignment horizontal="left" vertical="top" indent="1"/>
    </xf>
    <xf numFmtId="188" fontId="69" fillId="6" borderId="13" xfId="1" applyNumberFormat="1" applyFont="1" applyFill="1" applyBorder="1" applyAlignment="1">
      <alignment horizontal="left" vertical="top" wrapText="1" indent="1"/>
    </xf>
    <xf numFmtId="188" fontId="20" fillId="6" borderId="5" xfId="0" applyNumberFormat="1" applyFont="1" applyFill="1" applyBorder="1" applyAlignment="1">
      <alignment horizontal="left" vertical="top" indent="1"/>
    </xf>
    <xf numFmtId="188" fontId="20" fillId="6" borderId="5" xfId="0" applyNumberFormat="1" applyFont="1" applyFill="1" applyBorder="1" applyAlignment="1">
      <alignment horizontal="left" vertical="top" wrapText="1" indent="1"/>
    </xf>
    <xf numFmtId="188" fontId="69" fillId="6" borderId="5" xfId="0" applyNumberFormat="1" applyFont="1" applyFill="1" applyBorder="1" applyAlignment="1">
      <alignment horizontal="left" vertical="top" wrapText="1" indent="1"/>
    </xf>
    <xf numFmtId="188" fontId="20" fillId="6" borderId="5" xfId="1" applyNumberFormat="1" applyFont="1" applyFill="1" applyBorder="1" applyAlignment="1">
      <alignment horizontal="left" vertical="top" wrapText="1" indent="1"/>
    </xf>
    <xf numFmtId="188" fontId="68" fillId="6" borderId="5" xfId="1" applyNumberFormat="1" applyFont="1" applyFill="1" applyBorder="1" applyAlignment="1">
      <alignment horizontal="left" vertical="top" wrapText="1" indent="1"/>
    </xf>
    <xf numFmtId="0" fontId="20" fillId="6" borderId="5" xfId="0" applyFont="1" applyFill="1" applyBorder="1" applyAlignment="1">
      <alignment horizontal="left" vertical="top" wrapText="1" indent="1"/>
    </xf>
    <xf numFmtId="0" fontId="20" fillId="6" borderId="13" xfId="0" applyFont="1" applyFill="1" applyBorder="1" applyAlignment="1">
      <alignment horizontal="center" vertical="top" wrapText="1"/>
    </xf>
    <xf numFmtId="0" fontId="67" fillId="6" borderId="5" xfId="0" applyFont="1" applyFill="1" applyBorder="1" applyAlignment="1">
      <alignment horizontal="center" vertical="top" wrapText="1"/>
    </xf>
    <xf numFmtId="188" fontId="68" fillId="6" borderId="5" xfId="1" applyNumberFormat="1" applyFont="1" applyFill="1" applyBorder="1" applyAlignment="1">
      <alignment horizontal="center" vertical="top"/>
    </xf>
    <xf numFmtId="3" fontId="20" fillId="6" borderId="5" xfId="0" applyNumberFormat="1" applyFont="1" applyFill="1" applyBorder="1" applyAlignment="1">
      <alignment vertical="top"/>
    </xf>
    <xf numFmtId="188" fontId="68" fillId="6" borderId="5" xfId="1" applyNumberFormat="1" applyFont="1" applyFill="1" applyBorder="1" applyAlignment="1">
      <alignment horizontal="center" vertical="top" wrapText="1"/>
    </xf>
    <xf numFmtId="0" fontId="69" fillId="6" borderId="5" xfId="0" applyFont="1" applyFill="1" applyBorder="1" applyAlignment="1">
      <alignment horizontal="left" vertical="top" wrapText="1"/>
    </xf>
    <xf numFmtId="188" fontId="69" fillId="6" borderId="5" xfId="1" applyNumberFormat="1" applyFont="1" applyFill="1" applyBorder="1" applyAlignment="1">
      <alignment horizontal="left" vertical="top" wrapText="1"/>
    </xf>
    <xf numFmtId="0" fontId="104" fillId="6" borderId="10" xfId="0" applyFont="1" applyFill="1" applyBorder="1" applyAlignment="1">
      <alignment horizontal="left" vertical="top" wrapText="1"/>
    </xf>
    <xf numFmtId="0" fontId="20" fillId="6" borderId="10" xfId="0" applyFont="1" applyFill="1" applyBorder="1" applyAlignment="1">
      <alignment horizontal="center" vertical="top" wrapText="1"/>
    </xf>
    <xf numFmtId="0" fontId="69" fillId="6" borderId="10" xfId="0" applyFont="1" applyFill="1" applyBorder="1" applyAlignment="1">
      <alignment horizontal="left" vertical="top"/>
    </xf>
    <xf numFmtId="0" fontId="104" fillId="6" borderId="10" xfId="0" applyFont="1" applyFill="1" applyBorder="1" applyAlignment="1">
      <alignment horizontal="left" wrapText="1"/>
    </xf>
    <xf numFmtId="0" fontId="104" fillId="6" borderId="5" xfId="0" applyFont="1" applyFill="1" applyBorder="1" applyAlignment="1">
      <alignment horizontal="left" vertical="top" wrapText="1"/>
    </xf>
    <xf numFmtId="188" fontId="104" fillId="6" borderId="5" xfId="1" applyNumberFormat="1" applyFont="1" applyFill="1" applyBorder="1" applyAlignment="1">
      <alignment horizontal="left" vertical="top" wrapText="1"/>
    </xf>
    <xf numFmtId="188" fontId="68" fillId="6" borderId="10" xfId="1" applyNumberFormat="1" applyFont="1" applyFill="1" applyBorder="1" applyAlignment="1">
      <alignment horizontal="left" vertical="top" wrapText="1"/>
    </xf>
    <xf numFmtId="0" fontId="20" fillId="6" borderId="10" xfId="0" applyFont="1" applyFill="1" applyBorder="1" applyAlignment="1">
      <alignment horizontal="left" vertical="top" wrapText="1"/>
    </xf>
    <xf numFmtId="0" fontId="69" fillId="6" borderId="5" xfId="0" applyFont="1" applyFill="1" applyBorder="1" applyAlignment="1">
      <alignment horizontal="left" vertical="top"/>
    </xf>
    <xf numFmtId="0" fontId="69" fillId="6" borderId="5" xfId="0" applyFont="1" applyFill="1" applyBorder="1" applyAlignment="1">
      <alignment horizontal="center" vertical="top" wrapText="1"/>
    </xf>
    <xf numFmtId="188" fontId="69" fillId="6" borderId="5" xfId="1" applyNumberFormat="1" applyFont="1" applyFill="1" applyBorder="1" applyAlignment="1">
      <alignment horizontal="center" vertical="top" wrapText="1"/>
    </xf>
    <xf numFmtId="188" fontId="69" fillId="6" borderId="5" xfId="1" applyNumberFormat="1" applyFont="1" applyFill="1" applyBorder="1" applyAlignment="1">
      <alignment vertical="top" wrapText="1"/>
    </xf>
    <xf numFmtId="0" fontId="20" fillId="6" borderId="5" xfId="0" applyFont="1" applyFill="1" applyBorder="1" applyAlignment="1">
      <alignment horizontal="center" vertical="top" wrapText="1"/>
    </xf>
    <xf numFmtId="188" fontId="20" fillId="6" borderId="5" xfId="0" applyNumberFormat="1" applyFont="1" applyFill="1" applyBorder="1" applyAlignment="1">
      <alignment vertical="top" wrapText="1"/>
    </xf>
    <xf numFmtId="188" fontId="20" fillId="6" borderId="5" xfId="0" applyNumberFormat="1" applyFont="1" applyFill="1" applyBorder="1" applyAlignment="1">
      <alignment vertical="top"/>
    </xf>
    <xf numFmtId="188" fontId="105" fillId="6" borderId="5" xfId="0" applyNumberFormat="1" applyFont="1" applyFill="1" applyBorder="1" applyAlignment="1">
      <alignment vertical="top" wrapText="1"/>
    </xf>
    <xf numFmtId="3" fontId="68" fillId="6" borderId="5" xfId="1" applyNumberFormat="1" applyFont="1" applyFill="1" applyBorder="1" applyAlignment="1">
      <alignment horizontal="center" vertical="top" wrapText="1"/>
    </xf>
    <xf numFmtId="43" fontId="105" fillId="6" borderId="5" xfId="1" applyFont="1" applyFill="1" applyBorder="1" applyAlignment="1">
      <alignment vertical="top" wrapText="1"/>
    </xf>
    <xf numFmtId="188" fontId="69" fillId="6" borderId="5" xfId="0" applyNumberFormat="1" applyFont="1" applyFill="1" applyBorder="1" applyAlignment="1">
      <alignment vertical="top"/>
    </xf>
    <xf numFmtId="188" fontId="105" fillId="6" borderId="5" xfId="1" applyNumberFormat="1" applyFont="1" applyFill="1" applyBorder="1" applyAlignment="1">
      <alignment vertical="top" wrapText="1"/>
    </xf>
    <xf numFmtId="188" fontId="68" fillId="6" borderId="5" xfId="1" applyNumberFormat="1" applyFont="1" applyFill="1" applyBorder="1" applyAlignment="1">
      <alignment vertical="top" wrapText="1"/>
    </xf>
    <xf numFmtId="188" fontId="69" fillId="6" borderId="5" xfId="19" applyNumberFormat="1" applyFont="1" applyFill="1" applyBorder="1" applyAlignment="1">
      <alignment vertical="top"/>
    </xf>
    <xf numFmtId="188" fontId="67" fillId="6" borderId="5" xfId="19" applyNumberFormat="1" applyFont="1" applyFill="1" applyBorder="1" applyAlignment="1">
      <alignment vertical="top" wrapText="1"/>
    </xf>
    <xf numFmtId="188" fontId="68" fillId="6" borderId="5" xfId="19" applyNumberFormat="1" applyFont="1" applyFill="1" applyBorder="1" applyAlignment="1">
      <alignment vertical="top" wrapText="1"/>
    </xf>
    <xf numFmtId="188" fontId="69" fillId="6" borderId="5" xfId="19" applyNumberFormat="1" applyFont="1" applyFill="1" applyBorder="1" applyAlignment="1">
      <alignment vertical="top" wrapText="1"/>
    </xf>
    <xf numFmtId="0" fontId="20" fillId="0" borderId="13" xfId="0" applyFont="1" applyBorder="1" applyAlignment="1">
      <alignment horizontal="center" vertical="top" wrapText="1"/>
    </xf>
    <xf numFmtId="0" fontId="20" fillId="6" borderId="7" xfId="0" applyFont="1" applyFill="1" applyBorder="1" applyAlignment="1">
      <alignment horizontal="center" vertical="top" wrapText="1"/>
    </xf>
    <xf numFmtId="0" fontId="20" fillId="6" borderId="11" xfId="0" applyFont="1" applyFill="1" applyBorder="1" applyAlignment="1">
      <alignment vertical="top" wrapText="1"/>
    </xf>
    <xf numFmtId="0" fontId="20" fillId="6" borderId="5" xfId="0" applyFont="1" applyFill="1" applyBorder="1" applyAlignment="1">
      <alignment vertical="top" wrapText="1"/>
    </xf>
    <xf numFmtId="3" fontId="68" fillId="6" borderId="5" xfId="0" applyNumberFormat="1" applyFont="1" applyFill="1" applyBorder="1" applyAlignment="1">
      <alignment vertical="top"/>
    </xf>
    <xf numFmtId="187" fontId="19" fillId="0" borderId="8" xfId="0" applyNumberFormat="1" applyFont="1" applyBorder="1" applyAlignment="1">
      <alignment vertical="top"/>
    </xf>
    <xf numFmtId="188" fontId="104" fillId="6" borderId="10" xfId="0" applyNumberFormat="1" applyFont="1" applyFill="1" applyBorder="1" applyAlignment="1">
      <alignment horizontal="left" vertical="top" wrapText="1"/>
    </xf>
    <xf numFmtId="188" fontId="69" fillId="6" borderId="5" xfId="0" applyNumberFormat="1" applyFont="1" applyFill="1" applyBorder="1" applyAlignment="1">
      <alignment horizontal="center" vertical="top" wrapText="1"/>
    </xf>
    <xf numFmtId="0" fontId="96" fillId="6" borderId="0" xfId="0" applyFont="1" applyFill="1"/>
    <xf numFmtId="3" fontId="99" fillId="6" borderId="1" xfId="0" applyNumberFormat="1" applyFont="1" applyFill="1" applyBorder="1" applyAlignment="1">
      <alignment horizontal="center" vertical="center" wrapText="1"/>
    </xf>
    <xf numFmtId="0" fontId="100" fillId="6" borderId="5" xfId="0" applyFont="1" applyFill="1" applyBorder="1" applyAlignment="1">
      <alignment vertical="center" wrapText="1"/>
    </xf>
    <xf numFmtId="3" fontId="99" fillId="6" borderId="5" xfId="0" applyNumberFormat="1" applyFont="1" applyFill="1" applyBorder="1" applyAlignment="1">
      <alignment horizontal="center" vertical="center" wrapText="1"/>
    </xf>
    <xf numFmtId="188" fontId="96" fillId="6" borderId="5" xfId="1" applyNumberFormat="1" applyFont="1" applyFill="1" applyBorder="1" applyAlignment="1">
      <alignment horizontal="center" vertical="center"/>
    </xf>
    <xf numFmtId="3" fontId="99" fillId="6" borderId="5" xfId="0" applyNumberFormat="1" applyFont="1" applyFill="1" applyBorder="1" applyAlignment="1">
      <alignment wrapText="1"/>
    </xf>
    <xf numFmtId="3" fontId="96" fillId="6" borderId="5" xfId="0" applyNumberFormat="1" applyFont="1" applyFill="1" applyBorder="1" applyAlignment="1">
      <alignment horizontal="center" vertical="center"/>
    </xf>
    <xf numFmtId="0" fontId="99" fillId="6" borderId="5" xfId="6" applyFont="1" applyFill="1" applyBorder="1" applyAlignment="1">
      <alignment horizontal="left" vertical="top"/>
    </xf>
    <xf numFmtId="0" fontId="99" fillId="6" borderId="5" xfId="6" applyFont="1" applyFill="1" applyBorder="1" applyAlignment="1">
      <alignment horizontal="left" vertical="top" wrapText="1"/>
    </xf>
    <xf numFmtId="0" fontId="99" fillId="6" borderId="5" xfId="6" applyFont="1" applyFill="1" applyBorder="1" applyAlignment="1">
      <alignment vertical="top" wrapText="1"/>
    </xf>
    <xf numFmtId="0" fontId="99" fillId="6" borderId="5" xfId="6" applyFont="1" applyFill="1" applyBorder="1" applyAlignment="1">
      <alignment horizontal="center" vertical="top" wrapText="1"/>
    </xf>
    <xf numFmtId="188" fontId="99" fillId="6" borderId="5" xfId="7" applyNumberFormat="1" applyFont="1" applyFill="1" applyBorder="1" applyAlignment="1">
      <alignment horizontal="center" vertical="top" wrapText="1"/>
    </xf>
    <xf numFmtId="188" fontId="96" fillId="6" borderId="5" xfId="7" applyNumberFormat="1" applyFont="1" applyFill="1" applyBorder="1" applyAlignment="1">
      <alignment vertical="top"/>
    </xf>
    <xf numFmtId="0" fontId="99" fillId="6" borderId="13" xfId="0" applyFont="1" applyFill="1" applyBorder="1" applyAlignment="1">
      <alignment horizontal="left" vertical="top"/>
    </xf>
    <xf numFmtId="0" fontId="99" fillId="6" borderId="5" xfId="0" applyFont="1" applyFill="1" applyBorder="1" applyAlignment="1">
      <alignment horizontal="left" vertical="top" wrapText="1"/>
    </xf>
    <xf numFmtId="0" fontId="99" fillId="6" borderId="5" xfId="0" applyFont="1" applyFill="1" applyBorder="1" applyAlignment="1">
      <alignment vertical="top" wrapText="1"/>
    </xf>
    <xf numFmtId="188" fontId="99" fillId="6" borderId="5" xfId="1" applyNumberFormat="1" applyFont="1" applyFill="1" applyBorder="1" applyAlignment="1">
      <alignment vertical="top"/>
    </xf>
    <xf numFmtId="0" fontId="99" fillId="6" borderId="5" xfId="0" applyFont="1" applyFill="1" applyBorder="1" applyAlignment="1">
      <alignment horizontal="left" vertical="top"/>
    </xf>
    <xf numFmtId="188" fontId="96" fillId="6" borderId="5" xfId="1" applyNumberFormat="1" applyFont="1" applyFill="1" applyBorder="1" applyAlignment="1">
      <alignment horizontal="center" vertical="top"/>
    </xf>
    <xf numFmtId="188" fontId="100" fillId="6" borderId="5" xfId="1" applyNumberFormat="1" applyFont="1" applyFill="1" applyBorder="1" applyAlignment="1">
      <alignment vertical="center" wrapText="1"/>
    </xf>
    <xf numFmtId="0" fontId="100" fillId="6" borderId="1" xfId="0" applyFont="1" applyFill="1" applyBorder="1" applyAlignment="1">
      <alignment horizontal="left" vertical="top"/>
    </xf>
    <xf numFmtId="0" fontId="99" fillId="6" borderId="1" xfId="0" applyFont="1" applyFill="1" applyBorder="1" applyAlignment="1">
      <alignment horizontal="left" vertical="top" wrapText="1"/>
    </xf>
    <xf numFmtId="0" fontId="99" fillId="6" borderId="1" xfId="0" applyFont="1" applyFill="1" applyBorder="1" applyAlignment="1">
      <alignment vertical="top" wrapText="1"/>
    </xf>
    <xf numFmtId="0" fontId="99" fillId="6" borderId="1" xfId="0" applyFont="1" applyFill="1" applyBorder="1" applyAlignment="1">
      <alignment horizontal="center" vertical="top" wrapText="1"/>
    </xf>
    <xf numFmtId="188" fontId="99" fillId="6" borderId="1" xfId="8" applyNumberFormat="1" applyFont="1" applyFill="1" applyBorder="1" applyAlignment="1">
      <alignment horizontal="center" vertical="top" wrapText="1"/>
    </xf>
    <xf numFmtId="188" fontId="96" fillId="6" borderId="1" xfId="8" applyNumberFormat="1" applyFont="1" applyFill="1" applyBorder="1" applyAlignment="1">
      <alignment vertical="top"/>
    </xf>
    <xf numFmtId="190" fontId="99" fillId="6" borderId="1" xfId="8" applyNumberFormat="1" applyFont="1" applyFill="1" applyBorder="1" applyAlignment="1">
      <alignment horizontal="center" vertical="top" wrapText="1"/>
    </xf>
    <xf numFmtId="190" fontId="99" fillId="6" borderId="1" xfId="8" applyNumberFormat="1" applyFont="1" applyFill="1" applyBorder="1" applyAlignment="1">
      <alignment horizontal="left" vertical="top" wrapText="1"/>
    </xf>
    <xf numFmtId="0" fontId="99" fillId="6" borderId="9" xfId="0" applyFont="1" applyFill="1" applyBorder="1" applyAlignment="1">
      <alignment horizontal="left" vertical="top"/>
    </xf>
    <xf numFmtId="0" fontId="99" fillId="6" borderId="10" xfId="0" applyFont="1" applyFill="1" applyBorder="1" applyAlignment="1">
      <alignment vertical="top" wrapText="1"/>
    </xf>
    <xf numFmtId="0" fontId="99" fillId="6" borderId="10" xfId="0" applyFont="1" applyFill="1" applyBorder="1" applyAlignment="1">
      <alignment horizontal="left" vertical="top" wrapText="1"/>
    </xf>
    <xf numFmtId="188" fontId="99" fillId="6" borderId="10" xfId="8" applyNumberFormat="1" applyFont="1" applyFill="1" applyBorder="1" applyAlignment="1">
      <alignment horizontal="center" vertical="top" wrapText="1"/>
    </xf>
    <xf numFmtId="188" fontId="99" fillId="6" borderId="5" xfId="1" applyNumberFormat="1" applyFont="1" applyFill="1" applyBorder="1" applyAlignment="1">
      <alignment horizontal="center" vertical="center" wrapText="1"/>
    </xf>
    <xf numFmtId="190" fontId="99" fillId="6" borderId="10" xfId="8" applyNumberFormat="1" applyFont="1" applyFill="1" applyBorder="1" applyAlignment="1">
      <alignment horizontal="center" vertical="top" wrapText="1"/>
    </xf>
    <xf numFmtId="0" fontId="99" fillId="6" borderId="9" xfId="0" applyFont="1" applyFill="1" applyBorder="1" applyAlignment="1">
      <alignment horizontal="left" vertical="center"/>
    </xf>
    <xf numFmtId="0" fontId="99" fillId="6" borderId="1" xfId="0" applyFont="1" applyFill="1" applyBorder="1" applyAlignment="1">
      <alignment horizontal="center" vertical="center" wrapText="1"/>
    </xf>
    <xf numFmtId="0" fontId="99" fillId="6" borderId="0" xfId="0" applyFont="1" applyFill="1" applyAlignment="1">
      <alignment horizontal="center" vertical="top" wrapText="1"/>
    </xf>
    <xf numFmtId="188" fontId="99" fillId="6" borderId="6" xfId="1" applyNumberFormat="1" applyFont="1" applyFill="1" applyBorder="1" applyAlignment="1">
      <alignment horizontal="center" vertical="top" wrapText="1"/>
    </xf>
    <xf numFmtId="0" fontId="96" fillId="6" borderId="10" xfId="0" applyFont="1" applyFill="1" applyBorder="1" applyAlignment="1">
      <alignment vertical="top" wrapText="1"/>
    </xf>
    <xf numFmtId="0" fontId="96" fillId="6" borderId="10" xfId="0" applyFont="1" applyFill="1" applyBorder="1" applyAlignment="1">
      <alignment horizontal="center" vertical="center"/>
    </xf>
    <xf numFmtId="3" fontId="102" fillId="6" borderId="12" xfId="0" applyNumberFormat="1" applyFont="1" applyFill="1" applyBorder="1" applyAlignment="1">
      <alignment vertical="top"/>
    </xf>
    <xf numFmtId="188" fontId="99" fillId="6" borderId="5" xfId="1" applyNumberFormat="1" applyFont="1" applyFill="1" applyBorder="1" applyAlignment="1">
      <alignment vertical="center" wrapText="1"/>
    </xf>
    <xf numFmtId="0" fontId="96" fillId="6" borderId="5" xfId="0" applyFont="1" applyFill="1" applyBorder="1" applyAlignment="1">
      <alignment horizontal="center" vertical="top" wrapText="1"/>
    </xf>
    <xf numFmtId="0" fontId="2" fillId="0" borderId="5" xfId="0" applyFont="1" applyBorder="1" applyAlignment="1">
      <alignment horizontal="center" vertical="top"/>
    </xf>
    <xf numFmtId="0" fontId="2" fillId="2" borderId="5" xfId="0" applyFont="1" applyFill="1" applyBorder="1" applyAlignment="1">
      <alignment horizontal="center" vertical="top" wrapText="1"/>
    </xf>
    <xf numFmtId="0" fontId="41" fillId="2" borderId="5" xfId="0" applyFont="1" applyFill="1" applyBorder="1" applyAlignment="1">
      <alignment horizontal="center" vertical="top"/>
    </xf>
    <xf numFmtId="0" fontId="46" fillId="2" borderId="5" xfId="0" applyFont="1" applyFill="1" applyBorder="1" applyAlignment="1">
      <alignment horizontal="center" vertical="top"/>
    </xf>
    <xf numFmtId="0" fontId="19" fillId="2" borderId="5" xfId="14" applyFont="1" applyFill="1" applyBorder="1" applyAlignment="1">
      <alignment horizontal="center" vertical="top" wrapText="1"/>
    </xf>
    <xf numFmtId="0" fontId="2" fillId="2" borderId="5" xfId="0" applyFont="1" applyFill="1" applyBorder="1" applyAlignment="1">
      <alignment horizontal="left" vertical="top" wrapText="1"/>
    </xf>
    <xf numFmtId="188" fontId="2" fillId="2" borderId="5" xfId="1" applyNumberFormat="1" applyFont="1" applyFill="1" applyBorder="1" applyAlignment="1">
      <alignment horizontal="center" vertical="top" wrapText="1"/>
    </xf>
    <xf numFmtId="188" fontId="41" fillId="2" borderId="5" xfId="1" applyNumberFormat="1" applyFont="1" applyFill="1" applyBorder="1" applyAlignment="1">
      <alignment vertical="top"/>
    </xf>
    <xf numFmtId="0" fontId="2" fillId="2" borderId="5" xfId="0" applyFont="1" applyFill="1" applyBorder="1" applyAlignment="1">
      <alignment horizontal="center" vertical="top"/>
    </xf>
    <xf numFmtId="0" fontId="0" fillId="2" borderId="0" xfId="0" applyFill="1"/>
    <xf numFmtId="0" fontId="2" fillId="2" borderId="5" xfId="0" applyFont="1" applyFill="1" applyBorder="1" applyAlignment="1">
      <alignment vertical="top" wrapText="1"/>
    </xf>
    <xf numFmtId="188" fontId="41" fillId="2" borderId="5" xfId="1" applyNumberFormat="1" applyFont="1" applyFill="1" applyBorder="1" applyAlignment="1">
      <alignment horizontal="center" vertical="top" wrapText="1"/>
    </xf>
    <xf numFmtId="0" fontId="45" fillId="0" borderId="10" xfId="0" applyFont="1" applyBorder="1" applyAlignment="1">
      <alignment horizontal="center"/>
    </xf>
    <xf numFmtId="0" fontId="2" fillId="2" borderId="10" xfId="0" applyFont="1" applyFill="1" applyBorder="1" applyAlignment="1">
      <alignment vertical="top" wrapText="1"/>
    </xf>
    <xf numFmtId="0" fontId="2" fillId="2" borderId="10" xfId="0" applyFont="1" applyFill="1" applyBorder="1" applyAlignment="1">
      <alignment horizontal="center" vertical="top"/>
    </xf>
    <xf numFmtId="0" fontId="8" fillId="2" borderId="5" xfId="0" applyFont="1" applyFill="1" applyBorder="1" applyAlignment="1">
      <alignment horizontal="left" vertical="top" wrapText="1"/>
    </xf>
    <xf numFmtId="0" fontId="67" fillId="2" borderId="5" xfId="14" applyFont="1" applyFill="1" applyBorder="1" applyAlignment="1">
      <alignment horizontal="center" vertical="top" wrapText="1"/>
    </xf>
    <xf numFmtId="0" fontId="106" fillId="2" borderId="5" xfId="0" applyFont="1" applyFill="1" applyBorder="1" applyAlignment="1">
      <alignment horizontal="center" vertical="top" wrapText="1"/>
    </xf>
    <xf numFmtId="188" fontId="8" fillId="2" borderId="5" xfId="1" applyNumberFormat="1" applyFont="1" applyFill="1" applyBorder="1" applyAlignment="1">
      <alignment horizontal="center" vertical="top" wrapText="1"/>
    </xf>
    <xf numFmtId="188" fontId="7" fillId="2" borderId="5" xfId="1" applyNumberFormat="1" applyFont="1" applyFill="1" applyBorder="1" applyAlignment="1">
      <alignment horizontal="center" vertical="top" wrapText="1"/>
    </xf>
    <xf numFmtId="0" fontId="2" fillId="0" borderId="5" xfId="0" applyFont="1" applyBorder="1"/>
    <xf numFmtId="3" fontId="2" fillId="2" borderId="5" xfId="0" applyNumberFormat="1" applyFont="1" applyFill="1" applyBorder="1" applyAlignment="1">
      <alignment horizontal="center" vertical="top"/>
    </xf>
    <xf numFmtId="0" fontId="8" fillId="2" borderId="5" xfId="0" applyFont="1" applyFill="1" applyBorder="1" applyAlignment="1">
      <alignment horizontal="center" vertical="top" wrapText="1"/>
    </xf>
    <xf numFmtId="0" fontId="45" fillId="2" borderId="5" xfId="0" applyFont="1" applyFill="1" applyBorder="1"/>
    <xf numFmtId="3" fontId="2" fillId="2" borderId="5" xfId="0" applyNumberFormat="1" applyFont="1" applyFill="1" applyBorder="1" applyAlignment="1">
      <alignment vertical="top"/>
    </xf>
    <xf numFmtId="188" fontId="41" fillId="2" borderId="5" xfId="1" applyNumberFormat="1" applyFont="1" applyFill="1" applyBorder="1" applyAlignment="1">
      <alignment vertical="top" wrapText="1"/>
    </xf>
    <xf numFmtId="0" fontId="41" fillId="2" borderId="5" xfId="0" applyFont="1" applyFill="1" applyBorder="1" applyAlignment="1">
      <alignment horizontal="center" vertical="top" wrapText="1"/>
    </xf>
    <xf numFmtId="0" fontId="2" fillId="2" borderId="5" xfId="0" applyFont="1" applyFill="1" applyBorder="1"/>
    <xf numFmtId="188" fontId="2" fillId="2" borderId="5" xfId="1" applyNumberFormat="1" applyFont="1" applyFill="1" applyBorder="1" applyAlignment="1">
      <alignment vertical="top" wrapText="1"/>
    </xf>
    <xf numFmtId="3" fontId="2" fillId="2" borderId="5" xfId="0" applyNumberFormat="1" applyFont="1" applyFill="1" applyBorder="1" applyAlignment="1">
      <alignment horizontal="center" vertical="top" wrapText="1"/>
    </xf>
    <xf numFmtId="188" fontId="2" fillId="2" borderId="5" xfId="1" applyNumberFormat="1" applyFont="1" applyFill="1" applyBorder="1" applyAlignment="1">
      <alignment vertical="top"/>
    </xf>
    <xf numFmtId="0" fontId="2" fillId="2" borderId="5" xfId="0" applyFont="1" applyFill="1" applyBorder="1" applyAlignment="1">
      <alignment vertical="top"/>
    </xf>
    <xf numFmtId="188" fontId="57" fillId="2" borderId="5" xfId="1" applyNumberFormat="1" applyFont="1" applyFill="1" applyBorder="1" applyAlignment="1">
      <alignment vertical="top" wrapText="1"/>
    </xf>
    <xf numFmtId="0" fontId="46" fillId="2" borderId="5" xfId="14" applyFont="1" applyFill="1" applyBorder="1" applyAlignment="1">
      <alignment vertical="top"/>
    </xf>
    <xf numFmtId="0" fontId="8" fillId="2" borderId="5" xfId="14" applyFont="1" applyFill="1" applyBorder="1" applyAlignment="1">
      <alignment horizontal="left" vertical="top" wrapText="1"/>
    </xf>
    <xf numFmtId="188" fontId="2" fillId="2" borderId="5" xfId="11" applyNumberFormat="1" applyFont="1" applyFill="1" applyBorder="1" applyAlignment="1">
      <alignment vertical="top"/>
    </xf>
    <xf numFmtId="188" fontId="41" fillId="2" borderId="5" xfId="11" applyNumberFormat="1" applyFont="1" applyFill="1" applyBorder="1" applyAlignment="1">
      <alignment vertical="top"/>
    </xf>
    <xf numFmtId="188" fontId="43" fillId="2" borderId="5" xfId="11" applyNumberFormat="1" applyFont="1" applyFill="1" applyBorder="1" applyAlignment="1">
      <alignment vertical="top"/>
    </xf>
    <xf numFmtId="188" fontId="46" fillId="2" borderId="5" xfId="11" applyNumberFormat="1" applyFont="1" applyFill="1" applyBorder="1" applyAlignment="1">
      <alignment vertical="top"/>
    </xf>
    <xf numFmtId="0" fontId="8" fillId="2" borderId="5" xfId="14" applyFont="1" applyFill="1" applyBorder="1" applyAlignment="1">
      <alignment horizontal="center" vertical="center" wrapText="1"/>
    </xf>
    <xf numFmtId="1" fontId="2" fillId="2" borderId="5" xfId="15" applyNumberFormat="1" applyFont="1" applyFill="1" applyBorder="1" applyAlignment="1">
      <alignment horizontal="left" vertical="top" wrapText="1"/>
    </xf>
    <xf numFmtId="0" fontId="2" fillId="2" borderId="7" xfId="14" applyFont="1" applyFill="1" applyBorder="1" applyAlignment="1">
      <alignment vertical="top" wrapText="1"/>
    </xf>
    <xf numFmtId="0" fontId="2" fillId="2" borderId="5" xfId="14" applyFont="1" applyFill="1" applyBorder="1" applyAlignment="1">
      <alignment vertical="top" wrapText="1"/>
    </xf>
    <xf numFmtId="188" fontId="49" fillId="2" borderId="5" xfId="11" applyNumberFormat="1" applyFont="1" applyFill="1" applyBorder="1" applyAlignment="1">
      <alignment vertical="top"/>
    </xf>
    <xf numFmtId="0" fontId="59" fillId="2" borderId="5" xfId="0" applyFont="1" applyFill="1" applyBorder="1" applyAlignment="1">
      <alignment horizontal="center" vertical="top"/>
    </xf>
    <xf numFmtId="1" fontId="2" fillId="2" borderId="10" xfId="15" applyNumberFormat="1" applyFont="1" applyFill="1" applyBorder="1" applyAlignment="1">
      <alignment horizontal="left" vertical="top" wrapText="1"/>
    </xf>
    <xf numFmtId="0" fontId="8" fillId="2" borderId="5" xfId="14" applyFont="1" applyFill="1" applyBorder="1" applyAlignment="1">
      <alignment vertical="top" wrapText="1"/>
    </xf>
    <xf numFmtId="0" fontId="108" fillId="2" borderId="1" xfId="16" applyFont="1" applyFill="1" applyBorder="1" applyAlignment="1">
      <alignment vertical="top" wrapText="1"/>
    </xf>
    <xf numFmtId="0" fontId="2" fillId="2" borderId="1" xfId="14" applyFont="1" applyFill="1" applyBorder="1" applyAlignment="1">
      <alignment vertical="top" wrapText="1"/>
    </xf>
    <xf numFmtId="0" fontId="109" fillId="2" borderId="1" xfId="0" applyFont="1" applyFill="1" applyBorder="1" applyAlignment="1">
      <alignment vertical="top" wrapText="1" readingOrder="1"/>
    </xf>
    <xf numFmtId="0" fontId="61" fillId="2" borderId="5" xfId="14" applyFont="1" applyFill="1" applyBorder="1" applyAlignment="1">
      <alignment horizontal="center" vertical="top" wrapText="1"/>
    </xf>
    <xf numFmtId="0" fontId="109" fillId="2" borderId="5" xfId="0" applyFont="1" applyFill="1" applyBorder="1" applyAlignment="1">
      <alignment horizontal="left" vertical="top" wrapText="1" readingOrder="1"/>
    </xf>
    <xf numFmtId="0" fontId="2" fillId="2" borderId="5" xfId="0" quotePrefix="1" applyFont="1" applyFill="1" applyBorder="1" applyAlignment="1">
      <alignment vertical="top" wrapText="1"/>
    </xf>
    <xf numFmtId="0" fontId="110" fillId="0" borderId="5" xfId="0" applyFont="1" applyBorder="1" applyAlignment="1">
      <alignment vertical="top" wrapText="1"/>
    </xf>
    <xf numFmtId="188" fontId="61" fillId="2" borderId="5" xfId="11" applyNumberFormat="1" applyFont="1" applyFill="1" applyBorder="1" applyAlignment="1">
      <alignment vertical="top" wrapText="1"/>
    </xf>
    <xf numFmtId="188" fontId="50" fillId="2" borderId="5" xfId="11" applyNumberFormat="1" applyFont="1" applyFill="1" applyBorder="1" applyAlignment="1">
      <alignment vertical="top" wrapText="1"/>
    </xf>
    <xf numFmtId="188" fontId="8" fillId="2" borderId="5" xfId="11" applyNumberFormat="1" applyFont="1" applyFill="1" applyBorder="1" applyAlignment="1">
      <alignment vertical="top" wrapText="1"/>
    </xf>
    <xf numFmtId="188" fontId="47" fillId="2" borderId="5" xfId="11" applyNumberFormat="1" applyFont="1" applyFill="1" applyBorder="1" applyAlignment="1">
      <alignment vertical="top" wrapText="1"/>
    </xf>
    <xf numFmtId="0" fontId="8" fillId="2" borderId="5" xfId="14" applyFont="1" applyFill="1" applyBorder="1" applyAlignment="1">
      <alignment horizontal="center" vertical="top" wrapText="1"/>
    </xf>
    <xf numFmtId="0" fontId="110" fillId="0" borderId="0" xfId="0" applyFont="1" applyAlignment="1">
      <alignment vertical="top" wrapText="1"/>
    </xf>
    <xf numFmtId="0" fontId="112" fillId="0" borderId="0" xfId="0" applyFont="1" applyAlignment="1">
      <alignment vertical="top" wrapText="1"/>
    </xf>
    <xf numFmtId="0" fontId="8" fillId="2" borderId="0" xfId="0" applyFont="1" applyFill="1" applyAlignment="1">
      <alignment vertical="top" wrapText="1"/>
    </xf>
    <xf numFmtId="0" fontId="111" fillId="2" borderId="10" xfId="0" applyFont="1" applyFill="1" applyBorder="1" applyAlignment="1">
      <alignment horizontal="justify" vertical="top" wrapText="1"/>
    </xf>
    <xf numFmtId="0" fontId="8" fillId="2" borderId="10" xfId="0" applyFont="1" applyFill="1" applyBorder="1" applyAlignment="1">
      <alignment vertical="top" wrapText="1"/>
    </xf>
    <xf numFmtId="0" fontId="2" fillId="2" borderId="5" xfId="14" applyFont="1" applyFill="1" applyBorder="1" applyAlignment="1">
      <alignment vertical="top"/>
    </xf>
    <xf numFmtId="0" fontId="46" fillId="2" borderId="5" xfId="14" applyFont="1" applyFill="1" applyBorder="1" applyAlignment="1">
      <alignment vertical="top" wrapText="1"/>
    </xf>
    <xf numFmtId="188" fontId="46" fillId="2" borderId="5" xfId="11" applyNumberFormat="1" applyFont="1" applyFill="1" applyBorder="1" applyAlignment="1">
      <alignment vertical="top" wrapText="1"/>
    </xf>
    <xf numFmtId="188" fontId="19" fillId="2" borderId="5" xfId="11" applyNumberFormat="1" applyFont="1" applyFill="1" applyBorder="1" applyAlignment="1">
      <alignment vertical="top"/>
    </xf>
    <xf numFmtId="0" fontId="108" fillId="2" borderId="5" xfId="16" applyFont="1" applyFill="1" applyBorder="1" applyAlignment="1">
      <alignment horizontal="left" vertical="top" wrapText="1"/>
    </xf>
    <xf numFmtId="188" fontId="59" fillId="2" borderId="5" xfId="11" applyNumberFormat="1" applyFont="1" applyFill="1" applyBorder="1" applyAlignment="1">
      <alignment vertical="top" wrapText="1"/>
    </xf>
    <xf numFmtId="0" fontId="0" fillId="0" borderId="0" xfId="0" applyAlignment="1">
      <alignment vertical="center"/>
    </xf>
    <xf numFmtId="0" fontId="67" fillId="2" borderId="5" xfId="0" applyFont="1" applyFill="1" applyBorder="1" applyAlignment="1">
      <alignment horizontal="center" vertical="center"/>
    </xf>
    <xf numFmtId="0" fontId="2" fillId="2" borderId="5" xfId="0" applyFont="1" applyFill="1" applyBorder="1" applyAlignment="1">
      <alignment horizontal="left" vertical="top"/>
    </xf>
    <xf numFmtId="188" fontId="8" fillId="2" borderId="5" xfId="1" applyNumberFormat="1" applyFont="1" applyFill="1" applyBorder="1" applyAlignment="1">
      <alignment horizontal="left" vertical="top" shrinkToFit="1"/>
    </xf>
    <xf numFmtId="188" fontId="8" fillId="2" borderId="5" xfId="1" applyNumberFormat="1" applyFont="1" applyFill="1" applyBorder="1" applyAlignment="1">
      <alignment horizontal="left" vertical="top" wrapText="1"/>
    </xf>
    <xf numFmtId="188" fontId="7" fillId="2" borderId="5" xfId="1" applyNumberFormat="1" applyFont="1" applyFill="1" applyBorder="1" applyAlignment="1">
      <alignment horizontal="left" vertical="top" wrapText="1"/>
    </xf>
    <xf numFmtId="0" fontId="2" fillId="0" borderId="5" xfId="0" applyFont="1" applyBorder="1" applyAlignment="1">
      <alignment horizontal="left" vertical="top"/>
    </xf>
    <xf numFmtId="0" fontId="41" fillId="2" borderId="5" xfId="0" applyFont="1" applyFill="1" applyBorder="1" applyAlignment="1">
      <alignment horizontal="left" vertical="top"/>
    </xf>
    <xf numFmtId="188" fontId="41" fillId="0" borderId="5" xfId="1" applyNumberFormat="1" applyFont="1" applyFill="1" applyBorder="1" applyAlignment="1">
      <alignment horizontal="left" vertical="top"/>
    </xf>
    <xf numFmtId="43" fontId="2" fillId="0" borderId="5" xfId="1" applyFont="1" applyFill="1" applyBorder="1" applyAlignment="1">
      <alignment horizontal="center" vertical="top" shrinkToFit="1"/>
    </xf>
    <xf numFmtId="43" fontId="2" fillId="0" borderId="5" xfId="1" applyFont="1" applyFill="1" applyBorder="1" applyAlignment="1">
      <alignment vertical="top" shrinkToFit="1"/>
    </xf>
    <xf numFmtId="188" fontId="2" fillId="0" borderId="5" xfId="11" applyNumberFormat="1" applyFont="1" applyFill="1" applyBorder="1" applyAlignment="1">
      <alignment vertical="top"/>
    </xf>
    <xf numFmtId="188" fontId="41" fillId="0" borderId="5" xfId="11" applyNumberFormat="1" applyFont="1" applyFill="1" applyBorder="1" applyAlignment="1">
      <alignment vertical="top"/>
    </xf>
    <xf numFmtId="188" fontId="2" fillId="0" borderId="5" xfId="11" applyNumberFormat="1" applyFont="1" applyFill="1" applyBorder="1" applyAlignment="1">
      <alignment vertical="top" shrinkToFit="1"/>
    </xf>
    <xf numFmtId="0" fontId="8" fillId="0" borderId="5" xfId="14" applyFont="1" applyBorder="1" applyAlignment="1">
      <alignment horizontal="center" vertical="top" shrinkToFit="1"/>
    </xf>
    <xf numFmtId="0" fontId="43" fillId="2" borderId="5" xfId="0" applyFont="1" applyFill="1" applyBorder="1" applyAlignment="1">
      <alignment horizontal="center" vertical="top" wrapText="1"/>
    </xf>
    <xf numFmtId="0" fontId="45" fillId="0" borderId="5" xfId="0" applyFont="1" applyBorder="1" applyAlignment="1">
      <alignment vertical="top"/>
    </xf>
    <xf numFmtId="188" fontId="2" fillId="2" borderId="5" xfId="1" applyNumberFormat="1" applyFont="1" applyFill="1" applyBorder="1" applyAlignment="1">
      <alignment horizontal="left" vertical="top" shrinkToFit="1"/>
    </xf>
    <xf numFmtId="188" fontId="7" fillId="2" borderId="5" xfId="1" applyNumberFormat="1" applyFont="1" applyFill="1" applyBorder="1" applyAlignment="1">
      <alignment horizontal="left" vertical="top" shrinkToFit="1"/>
    </xf>
    <xf numFmtId="0" fontId="2" fillId="2" borderId="1" xfId="0" applyFont="1" applyFill="1" applyBorder="1" applyAlignment="1">
      <alignment horizontal="center" vertical="top"/>
    </xf>
    <xf numFmtId="0" fontId="8" fillId="2" borderId="1" xfId="0" applyFont="1" applyFill="1" applyBorder="1" applyAlignment="1">
      <alignment horizontal="left" vertical="top" wrapText="1"/>
    </xf>
    <xf numFmtId="0" fontId="8" fillId="2" borderId="1" xfId="0" applyFont="1" applyFill="1" applyBorder="1" applyAlignment="1">
      <alignment vertical="top" wrapText="1"/>
    </xf>
    <xf numFmtId="188" fontId="8" fillId="2" borderId="5" xfId="1" applyNumberFormat="1" applyFont="1" applyFill="1" applyBorder="1" applyAlignment="1">
      <alignment vertical="top" wrapText="1"/>
    </xf>
    <xf numFmtId="0" fontId="2" fillId="0" borderId="1" xfId="0" applyFont="1" applyBorder="1"/>
    <xf numFmtId="0" fontId="2" fillId="2" borderId="1" xfId="0" applyFont="1" applyFill="1" applyBorder="1" applyAlignment="1">
      <alignment vertical="top" wrapText="1"/>
    </xf>
    <xf numFmtId="0" fontId="2" fillId="2" borderId="1" xfId="0" applyFont="1" applyFill="1" applyBorder="1" applyAlignment="1">
      <alignment vertical="top"/>
    </xf>
    <xf numFmtId="0" fontId="2" fillId="2" borderId="1" xfId="0" applyFont="1" applyFill="1" applyBorder="1" applyAlignment="1">
      <alignment horizontal="center" vertical="top" wrapText="1"/>
    </xf>
    <xf numFmtId="188" fontId="2" fillId="2" borderId="1" xfId="1" applyNumberFormat="1" applyFont="1" applyFill="1" applyBorder="1" applyAlignment="1">
      <alignment horizontal="left" vertical="top" wrapText="1"/>
    </xf>
    <xf numFmtId="188" fontId="2" fillId="2" borderId="1" xfId="1" applyNumberFormat="1" applyFont="1" applyFill="1" applyBorder="1" applyAlignment="1">
      <alignment vertical="top"/>
    </xf>
    <xf numFmtId="0" fontId="2" fillId="0" borderId="5" xfId="14" applyFont="1" applyBorder="1" applyAlignment="1">
      <alignment horizontal="left" vertical="top" wrapText="1"/>
    </xf>
    <xf numFmtId="0" fontId="60" fillId="0" borderId="0" xfId="0" applyFont="1" applyAlignment="1">
      <alignment vertical="center"/>
    </xf>
    <xf numFmtId="0" fontId="113" fillId="0" borderId="5" xfId="0" applyFont="1" applyBorder="1"/>
    <xf numFmtId="0" fontId="113" fillId="0" borderId="0" xfId="0" applyFont="1"/>
    <xf numFmtId="0" fontId="7" fillId="2" borderId="5" xfId="0" applyFont="1" applyFill="1" applyBorder="1" applyAlignment="1">
      <alignment horizontal="center" vertical="top" wrapText="1"/>
    </xf>
    <xf numFmtId="0" fontId="8" fillId="0" borderId="5" xfId="14" applyFont="1" applyBorder="1" applyAlignment="1">
      <alignment vertical="top" wrapText="1"/>
    </xf>
    <xf numFmtId="188" fontId="117" fillId="2" borderId="5" xfId="1" applyNumberFormat="1" applyFont="1" applyFill="1" applyBorder="1" applyAlignment="1">
      <alignment vertical="top" wrapText="1"/>
    </xf>
    <xf numFmtId="188" fontId="2" fillId="0" borderId="5" xfId="1" applyNumberFormat="1" applyFont="1" applyFill="1" applyBorder="1" applyAlignment="1">
      <alignment vertical="top" shrinkToFit="1"/>
    </xf>
    <xf numFmtId="0" fontId="8" fillId="0" borderId="1" xfId="14" applyFont="1" applyBorder="1" applyAlignment="1">
      <alignment vertical="top" wrapText="1"/>
    </xf>
    <xf numFmtId="0" fontId="8" fillId="2" borderId="1" xfId="0" applyFont="1" applyFill="1" applyBorder="1" applyAlignment="1">
      <alignment horizontal="center" vertical="top" wrapText="1"/>
    </xf>
    <xf numFmtId="188" fontId="8" fillId="2" borderId="1" xfId="1" applyNumberFormat="1" applyFont="1" applyFill="1" applyBorder="1" applyAlignment="1">
      <alignment horizontal="center" vertical="top" wrapText="1"/>
    </xf>
    <xf numFmtId="188" fontId="7" fillId="2" borderId="1" xfId="1" applyNumberFormat="1" applyFont="1" applyFill="1" applyBorder="1" applyAlignment="1">
      <alignment vertical="top" wrapText="1"/>
    </xf>
    <xf numFmtId="188" fontId="8" fillId="2" borderId="1" xfId="1" applyNumberFormat="1" applyFont="1" applyFill="1" applyBorder="1" applyAlignment="1">
      <alignment vertical="top"/>
    </xf>
    <xf numFmtId="0" fontId="2" fillId="0" borderId="5" xfId="0" applyFont="1" applyBorder="1" applyAlignment="1">
      <alignment vertical="center" wrapText="1"/>
    </xf>
    <xf numFmtId="0" fontId="7" fillId="2" borderId="1" xfId="14" applyFont="1" applyFill="1" applyBorder="1" applyAlignment="1">
      <alignment horizontal="center" vertical="top" wrapText="1"/>
    </xf>
    <xf numFmtId="188" fontId="2" fillId="0" borderId="1" xfId="1" applyNumberFormat="1" applyFont="1" applyBorder="1" applyAlignment="1">
      <alignment vertical="top"/>
    </xf>
    <xf numFmtId="0" fontId="118" fillId="0" borderId="5" xfId="0" applyFont="1" applyBorder="1"/>
    <xf numFmtId="188" fontId="43" fillId="0" borderId="1" xfId="1" applyNumberFormat="1" applyFont="1" applyBorder="1" applyAlignment="1">
      <alignment vertical="top"/>
    </xf>
    <xf numFmtId="0" fontId="119" fillId="0" borderId="5" xfId="0" applyFont="1" applyBorder="1" applyAlignment="1">
      <alignment horizontal="center" vertical="top" wrapText="1"/>
    </xf>
    <xf numFmtId="188" fontId="2" fillId="0" borderId="5" xfId="1" applyNumberFormat="1" applyFont="1" applyBorder="1" applyAlignment="1">
      <alignment vertical="top"/>
    </xf>
    <xf numFmtId="0" fontId="45" fillId="6" borderId="5" xfId="0" applyFont="1" applyFill="1" applyBorder="1"/>
    <xf numFmtId="0" fontId="45" fillId="6" borderId="1" xfId="0" applyFont="1" applyFill="1" applyBorder="1"/>
    <xf numFmtId="0" fontId="2" fillId="6" borderId="10" xfId="0" applyFont="1" applyFill="1" applyBorder="1" applyAlignment="1">
      <alignment horizontal="center" vertical="center" wrapText="1"/>
    </xf>
    <xf numFmtId="0" fontId="67" fillId="6" borderId="13" xfId="0" applyFont="1" applyFill="1" applyBorder="1" applyAlignment="1">
      <alignment vertical="center" wrapText="1"/>
    </xf>
    <xf numFmtId="188" fontId="7" fillId="6" borderId="10" xfId="1" applyNumberFormat="1" applyFont="1" applyFill="1" applyBorder="1" applyAlignment="1">
      <alignment horizontal="center" vertical="center" wrapText="1"/>
    </xf>
    <xf numFmtId="188" fontId="8" fillId="6" borderId="10" xfId="0" applyNumberFormat="1" applyFont="1" applyFill="1" applyBorder="1" applyAlignment="1">
      <alignment horizontal="center" vertical="top" wrapText="1"/>
    </xf>
    <xf numFmtId="188" fontId="47" fillId="6" borderId="10" xfId="0" applyNumberFormat="1" applyFont="1" applyFill="1" applyBorder="1" applyAlignment="1">
      <alignment horizontal="center" vertical="top" wrapText="1"/>
    </xf>
    <xf numFmtId="0" fontId="47" fillId="6" borderId="10" xfId="0" applyFont="1" applyFill="1" applyBorder="1" applyAlignment="1">
      <alignment horizontal="center" vertical="center" wrapText="1"/>
    </xf>
    <xf numFmtId="0" fontId="41" fillId="6" borderId="5" xfId="0" applyFont="1" applyFill="1" applyBorder="1" applyAlignment="1">
      <alignment horizontal="center" vertical="top"/>
    </xf>
    <xf numFmtId="1" fontId="107" fillId="6" borderId="13" xfId="15" applyNumberFormat="1" applyFont="1" applyFill="1" applyBorder="1" applyAlignment="1">
      <alignment vertical="top" wrapText="1"/>
    </xf>
    <xf numFmtId="188" fontId="41" fillId="6" borderId="5" xfId="11" applyNumberFormat="1" applyFont="1" applyFill="1" applyBorder="1" applyAlignment="1">
      <alignment vertical="top" wrapText="1"/>
    </xf>
    <xf numFmtId="188" fontId="8" fillId="6" borderId="10" xfId="0" applyNumberFormat="1" applyFont="1" applyFill="1" applyBorder="1" applyAlignment="1">
      <alignment horizontal="center" vertical="center" wrapText="1"/>
    </xf>
    <xf numFmtId="0" fontId="46" fillId="6" borderId="5" xfId="0" applyFont="1" applyFill="1" applyBorder="1" applyAlignment="1">
      <alignment vertical="top"/>
    </xf>
    <xf numFmtId="0" fontId="41" fillId="6" borderId="5" xfId="0" applyFont="1" applyFill="1" applyBorder="1" applyAlignment="1">
      <alignment horizontal="center" vertical="center"/>
    </xf>
    <xf numFmtId="188" fontId="2" fillId="6" borderId="5" xfId="11" applyNumberFormat="1" applyFont="1" applyFill="1" applyBorder="1" applyAlignment="1">
      <alignment vertical="top" wrapText="1"/>
    </xf>
    <xf numFmtId="188" fontId="41" fillId="6" borderId="5" xfId="11" applyNumberFormat="1" applyFont="1" applyFill="1" applyBorder="1" applyAlignment="1">
      <alignment vertical="center" wrapText="1"/>
    </xf>
    <xf numFmtId="188" fontId="49" fillId="6" borderId="5" xfId="11" applyNumberFormat="1" applyFont="1" applyFill="1" applyBorder="1" applyAlignment="1">
      <alignment vertical="center" wrapText="1"/>
    </xf>
    <xf numFmtId="0" fontId="2" fillId="6" borderId="5" xfId="0" applyFont="1" applyFill="1" applyBorder="1" applyAlignment="1">
      <alignment horizontal="center" vertical="center"/>
    </xf>
    <xf numFmtId="188" fontId="20" fillId="6" borderId="5" xfId="11" applyNumberFormat="1" applyFont="1" applyFill="1" applyBorder="1" applyAlignment="1">
      <alignment vertical="top"/>
    </xf>
    <xf numFmtId="188" fontId="41" fillId="6" borderId="5" xfId="11" applyNumberFormat="1" applyFont="1" applyFill="1" applyBorder="1" applyAlignment="1">
      <alignment vertical="top"/>
    </xf>
    <xf numFmtId="188" fontId="113" fillId="6" borderId="5" xfId="11" applyNumberFormat="1" applyFont="1" applyFill="1" applyBorder="1" applyAlignment="1">
      <alignment vertical="top" wrapText="1"/>
    </xf>
    <xf numFmtId="0" fontId="19" fillId="6" borderId="5" xfId="0" applyFont="1" applyFill="1" applyBorder="1" applyAlignment="1">
      <alignment horizontal="center" vertical="center"/>
    </xf>
    <xf numFmtId="188" fontId="69" fillId="6" borderId="5" xfId="1" applyNumberFormat="1" applyFont="1" applyFill="1" applyBorder="1" applyAlignment="1">
      <alignment horizontal="left" vertical="center" wrapText="1"/>
    </xf>
    <xf numFmtId="188" fontId="19" fillId="6" borderId="5" xfId="1" applyNumberFormat="1" applyFont="1" applyFill="1" applyBorder="1" applyAlignment="1">
      <alignment horizontal="left" vertical="center"/>
    </xf>
    <xf numFmtId="188" fontId="69" fillId="6" borderId="5" xfId="1" applyNumberFormat="1" applyFont="1" applyFill="1" applyBorder="1" applyAlignment="1">
      <alignment horizontal="left" vertical="center" shrinkToFit="1"/>
    </xf>
    <xf numFmtId="0" fontId="2" fillId="6" borderId="5" xfId="0" applyFont="1" applyFill="1" applyBorder="1" applyAlignment="1">
      <alignment horizontal="left" vertical="top"/>
    </xf>
    <xf numFmtId="188" fontId="8" fillId="6" borderId="5" xfId="1" applyNumberFormat="1" applyFont="1" applyFill="1" applyBorder="1" applyAlignment="1">
      <alignment horizontal="left" vertical="top" wrapText="1"/>
    </xf>
    <xf numFmtId="188" fontId="7" fillId="6" borderId="5" xfId="1" applyNumberFormat="1" applyFont="1" applyFill="1" applyBorder="1" applyAlignment="1">
      <alignment horizontal="left" vertical="top" wrapText="1"/>
    </xf>
    <xf numFmtId="188" fontId="8" fillId="6" borderId="5" xfId="1" applyNumberFormat="1" applyFont="1" applyFill="1" applyBorder="1" applyAlignment="1">
      <alignment horizontal="left" vertical="top" shrinkToFit="1"/>
    </xf>
    <xf numFmtId="0" fontId="8" fillId="6" borderId="5" xfId="0" applyFont="1" applyFill="1" applyBorder="1" applyAlignment="1">
      <alignment horizontal="center" vertical="top" wrapText="1"/>
    </xf>
    <xf numFmtId="0" fontId="2" fillId="6" borderId="5" xfId="0" applyFont="1" applyFill="1" applyBorder="1" applyAlignment="1">
      <alignment horizontal="center" vertical="top"/>
    </xf>
    <xf numFmtId="0" fontId="45" fillId="6" borderId="1" xfId="0" applyFont="1" applyFill="1" applyBorder="1" applyAlignment="1">
      <alignment vertical="top"/>
    </xf>
    <xf numFmtId="0" fontId="2" fillId="6" borderId="1" xfId="0" applyFont="1" applyFill="1" applyBorder="1" applyAlignment="1">
      <alignment horizontal="center" vertical="top"/>
    </xf>
    <xf numFmtId="188" fontId="41" fillId="6" borderId="5" xfId="1" applyNumberFormat="1" applyFont="1" applyFill="1" applyBorder="1" applyAlignment="1">
      <alignment horizontal="left" vertical="top"/>
    </xf>
    <xf numFmtId="0" fontId="2" fillId="6" borderId="5" xfId="0" applyFont="1" applyFill="1" applyBorder="1" applyAlignment="1">
      <alignment vertical="top" wrapText="1"/>
    </xf>
    <xf numFmtId="0" fontId="47" fillId="6" borderId="5" xfId="0" applyFont="1" applyFill="1" applyBorder="1" applyAlignment="1">
      <alignment horizontal="center" vertical="center" wrapText="1"/>
    </xf>
    <xf numFmtId="188" fontId="47" fillId="6" borderId="5" xfId="1" applyNumberFormat="1" applyFont="1" applyFill="1" applyBorder="1" applyAlignment="1">
      <alignment horizontal="center" vertical="center" wrapText="1"/>
    </xf>
    <xf numFmtId="188" fontId="2" fillId="6" borderId="5" xfId="1" applyNumberFormat="1" applyFont="1" applyFill="1" applyBorder="1" applyAlignment="1">
      <alignment vertical="center" wrapText="1"/>
    </xf>
    <xf numFmtId="188" fontId="8" fillId="6" borderId="5" xfId="1" applyNumberFormat="1" applyFont="1" applyFill="1" applyBorder="1" applyAlignment="1">
      <alignment vertical="center" wrapText="1"/>
    </xf>
    <xf numFmtId="188" fontId="50" fillId="6" borderId="5" xfId="1" applyNumberFormat="1" applyFont="1" applyFill="1" applyBorder="1" applyAlignment="1">
      <alignment vertical="center" wrapText="1"/>
    </xf>
    <xf numFmtId="0" fontId="60" fillId="6" borderId="5" xfId="0" applyFont="1" applyFill="1" applyBorder="1" applyAlignment="1">
      <alignment vertical="center"/>
    </xf>
    <xf numFmtId="0" fontId="46" fillId="6" borderId="5" xfId="0" applyFont="1" applyFill="1" applyBorder="1"/>
    <xf numFmtId="188" fontId="0" fillId="6" borderId="5" xfId="1" applyNumberFormat="1" applyFont="1" applyFill="1" applyBorder="1" applyAlignment="1">
      <alignment horizontal="center" vertical="top" wrapText="1"/>
    </xf>
    <xf numFmtId="188" fontId="2" fillId="6" borderId="5" xfId="1" applyNumberFormat="1" applyFont="1" applyFill="1" applyBorder="1" applyAlignment="1">
      <alignment vertical="top" wrapText="1"/>
    </xf>
    <xf numFmtId="188" fontId="8" fillId="6" borderId="5" xfId="1" applyNumberFormat="1" applyFont="1" applyFill="1" applyBorder="1" applyAlignment="1">
      <alignment horizontal="center" vertical="top" wrapText="1"/>
    </xf>
    <xf numFmtId="0" fontId="60" fillId="6" borderId="5" xfId="0" applyFont="1" applyFill="1" applyBorder="1"/>
    <xf numFmtId="0" fontId="2" fillId="0" borderId="6" xfId="0" applyFont="1" applyBorder="1" applyAlignment="1">
      <alignment horizontal="center" vertical="top"/>
    </xf>
    <xf numFmtId="0" fontId="2" fillId="2" borderId="6" xfId="0" applyFont="1" applyFill="1" applyBorder="1" applyAlignment="1">
      <alignment horizontal="center" vertical="top" wrapText="1"/>
    </xf>
    <xf numFmtId="0" fontId="2" fillId="2" borderId="6" xfId="0" applyFont="1" applyFill="1" applyBorder="1" applyAlignment="1">
      <alignment horizontal="center" vertical="top"/>
    </xf>
    <xf numFmtId="0" fontId="8" fillId="2" borderId="6" xfId="0" applyFont="1" applyFill="1" applyBorder="1" applyAlignment="1">
      <alignment vertical="top" wrapText="1"/>
    </xf>
    <xf numFmtId="0" fontId="67" fillId="2" borderId="6" xfId="14" applyFont="1" applyFill="1" applyBorder="1" applyAlignment="1">
      <alignment horizontal="center" vertical="top" wrapText="1"/>
    </xf>
    <xf numFmtId="0" fontId="8" fillId="2" borderId="6" xfId="0" applyFont="1" applyFill="1" applyBorder="1" applyAlignment="1">
      <alignment horizontal="left" vertical="top" wrapText="1"/>
    </xf>
    <xf numFmtId="188" fontId="8" fillId="2" borderId="6" xfId="1" applyNumberFormat="1" applyFont="1" applyFill="1" applyBorder="1" applyAlignment="1">
      <alignment horizontal="center" vertical="top" wrapText="1"/>
    </xf>
    <xf numFmtId="188" fontId="8" fillId="2" borderId="6" xfId="1" applyNumberFormat="1" applyFont="1" applyFill="1" applyBorder="1" applyAlignment="1">
      <alignment vertical="top" wrapText="1"/>
    </xf>
    <xf numFmtId="0" fontId="2" fillId="0" borderId="6" xfId="0" applyFont="1" applyBorder="1"/>
    <xf numFmtId="0" fontId="41" fillId="6" borderId="10" xfId="0" applyFont="1" applyFill="1" applyBorder="1"/>
    <xf numFmtId="188" fontId="49" fillId="6" borderId="10" xfId="0" applyNumberFormat="1" applyFont="1" applyFill="1" applyBorder="1"/>
    <xf numFmtId="0" fontId="49" fillId="6" borderId="10" xfId="0" applyFont="1" applyFill="1" applyBorder="1"/>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vertical="center" wrapText="1"/>
    </xf>
    <xf numFmtId="0" fontId="66" fillId="0" borderId="0" xfId="0" applyFont="1" applyAlignment="1">
      <alignment vertical="center"/>
    </xf>
    <xf numFmtId="0" fontId="120" fillId="0" borderId="0" xfId="0" applyFont="1" applyAlignment="1">
      <alignment horizontal="left" vertical="center" readingOrder="1"/>
    </xf>
    <xf numFmtId="0" fontId="19" fillId="10" borderId="0" xfId="0" applyFont="1" applyFill="1" applyAlignment="1">
      <alignment horizontal="center" vertical="center"/>
    </xf>
    <xf numFmtId="0" fontId="19" fillId="2" borderId="0" xfId="0" applyFont="1" applyFill="1" applyAlignment="1">
      <alignment horizontal="center" vertical="center"/>
    </xf>
    <xf numFmtId="0" fontId="19" fillId="2" borderId="0" xfId="0" applyFont="1" applyFill="1" applyAlignment="1">
      <alignment vertical="center"/>
    </xf>
    <xf numFmtId="187" fontId="19" fillId="0" borderId="0" xfId="0" applyNumberFormat="1" applyFont="1" applyAlignment="1">
      <alignment vertical="center"/>
    </xf>
    <xf numFmtId="187" fontId="19" fillId="2" borderId="0" xfId="0" applyNumberFormat="1" applyFont="1" applyFill="1" applyAlignment="1">
      <alignment horizontal="center" vertical="center"/>
    </xf>
    <xf numFmtId="189" fontId="19" fillId="0" borderId="0" xfId="0" applyNumberFormat="1" applyFont="1" applyAlignment="1">
      <alignment vertical="center" wrapText="1"/>
    </xf>
    <xf numFmtId="0" fontId="19" fillId="0" borderId="2" xfId="0" applyFont="1" applyBorder="1" applyAlignment="1">
      <alignment horizontal="center" vertical="center"/>
    </xf>
    <xf numFmtId="0" fontId="19" fillId="0" borderId="3" xfId="0" applyFont="1" applyBorder="1" applyAlignment="1">
      <alignment vertical="center"/>
    </xf>
    <xf numFmtId="0" fontId="19" fillId="0" borderId="4" xfId="0" applyFont="1" applyBorder="1" applyAlignment="1">
      <alignment vertical="center"/>
    </xf>
    <xf numFmtId="0" fontId="19" fillId="0" borderId="7" xfId="0" applyFont="1" applyBorder="1" applyAlignment="1">
      <alignment horizontal="center" vertical="center"/>
    </xf>
    <xf numFmtId="0" fontId="19" fillId="0" borderId="8" xfId="0" applyFont="1" applyBorder="1" applyAlignment="1">
      <alignment vertical="center"/>
    </xf>
    <xf numFmtId="0" fontId="19" fillId="0" borderId="9" xfId="0" applyFont="1" applyBorder="1" applyAlignment="1">
      <alignment vertical="center"/>
    </xf>
    <xf numFmtId="0" fontId="19" fillId="0" borderId="5" xfId="0" applyFont="1" applyBorder="1" applyAlignment="1">
      <alignment horizontal="center" vertical="center"/>
    </xf>
    <xf numFmtId="0" fontId="19" fillId="0" borderId="5" xfId="0" applyFont="1" applyBorder="1" applyAlignment="1">
      <alignment vertical="center"/>
    </xf>
    <xf numFmtId="0" fontId="67" fillId="0" borderId="5" xfId="0" applyFont="1" applyBorder="1" applyAlignment="1">
      <alignment horizontal="center" vertical="center" wrapText="1"/>
    </xf>
    <xf numFmtId="188" fontId="67" fillId="0" borderId="5" xfId="1" applyNumberFormat="1" applyFont="1" applyFill="1" applyBorder="1" applyAlignment="1">
      <alignment horizontal="center" vertical="center" wrapText="1"/>
    </xf>
    <xf numFmtId="0" fontId="67" fillId="2" borderId="10" xfId="0" applyFont="1" applyFill="1" applyBorder="1" applyAlignment="1">
      <alignment horizontal="center" vertical="center" wrapText="1"/>
    </xf>
    <xf numFmtId="0" fontId="19" fillId="0" borderId="5" xfId="0" applyFont="1" applyBorder="1" applyAlignment="1">
      <alignment vertical="center" wrapText="1"/>
    </xf>
    <xf numFmtId="0" fontId="19" fillId="0" borderId="5" xfId="0" applyFont="1" applyBorder="1" applyAlignment="1">
      <alignment horizontal="center" vertical="center" wrapText="1"/>
    </xf>
    <xf numFmtId="0" fontId="67" fillId="2" borderId="5" xfId="0" applyFont="1" applyFill="1" applyBorder="1" applyAlignment="1">
      <alignment horizontal="center" vertical="center" wrapText="1"/>
    </xf>
    <xf numFmtId="0" fontId="19" fillId="2" borderId="5" xfId="0" applyFont="1" applyFill="1" applyBorder="1" applyAlignment="1">
      <alignment vertical="center"/>
    </xf>
    <xf numFmtId="0" fontId="19" fillId="6" borderId="5" xfId="0" applyFont="1" applyFill="1" applyBorder="1" applyAlignment="1">
      <alignment horizontal="center" vertical="center" wrapText="1"/>
    </xf>
    <xf numFmtId="0" fontId="67" fillId="6" borderId="5" xfId="0" applyFont="1" applyFill="1" applyBorder="1" applyAlignment="1">
      <alignment horizontal="left" vertical="center" wrapText="1"/>
    </xf>
    <xf numFmtId="0" fontId="67" fillId="6" borderId="5" xfId="0" applyFont="1" applyFill="1" applyBorder="1" applyAlignment="1">
      <alignment horizontal="center" vertical="center" wrapText="1"/>
    </xf>
    <xf numFmtId="3" fontId="67" fillId="6" borderId="5" xfId="1" applyNumberFormat="1" applyFont="1" applyFill="1" applyBorder="1" applyAlignment="1">
      <alignment horizontal="center" vertical="center" wrapText="1"/>
    </xf>
    <xf numFmtId="0" fontId="19" fillId="6" borderId="5" xfId="0" applyFont="1" applyFill="1" applyBorder="1" applyAlignment="1">
      <alignment vertical="center"/>
    </xf>
    <xf numFmtId="0" fontId="67" fillId="0" borderId="5" xfId="0" applyFont="1" applyBorder="1" applyAlignment="1">
      <alignment horizontal="left" vertical="center" wrapText="1"/>
    </xf>
    <xf numFmtId="3" fontId="67" fillId="0" borderId="5" xfId="1" applyNumberFormat="1" applyFont="1" applyFill="1" applyBorder="1" applyAlignment="1">
      <alignment horizontal="center" vertical="center" wrapText="1"/>
    </xf>
    <xf numFmtId="3" fontId="67" fillId="2" borderId="5" xfId="1" applyNumberFormat="1" applyFont="1" applyFill="1" applyBorder="1" applyAlignment="1">
      <alignment horizontal="center" vertical="center" wrapText="1"/>
    </xf>
    <xf numFmtId="3" fontId="19" fillId="0" borderId="5" xfId="0" applyNumberFormat="1" applyFont="1" applyBorder="1" applyAlignment="1">
      <alignment vertical="center"/>
    </xf>
    <xf numFmtId="3" fontId="19" fillId="2" borderId="5" xfId="1" applyNumberFormat="1" applyFont="1" applyFill="1" applyBorder="1" applyAlignment="1">
      <alignment horizontal="center" vertical="center" wrapText="1"/>
    </xf>
    <xf numFmtId="3" fontId="67" fillId="2" borderId="5" xfId="0" applyNumberFormat="1" applyFont="1" applyFill="1" applyBorder="1" applyAlignment="1">
      <alignment horizontal="center" vertical="center" wrapText="1"/>
    </xf>
    <xf numFmtId="3" fontId="19" fillId="0" borderId="5" xfId="1" applyNumberFormat="1" applyFont="1" applyFill="1" applyBorder="1" applyAlignment="1">
      <alignment vertical="center" wrapText="1"/>
    </xf>
    <xf numFmtId="3" fontId="19" fillId="2" borderId="5" xfId="1" applyNumberFormat="1" applyFont="1" applyFill="1" applyBorder="1" applyAlignment="1">
      <alignment horizontal="center" vertical="center"/>
    </xf>
    <xf numFmtId="0" fontId="19" fillId="6" borderId="5" xfId="0" applyFont="1" applyFill="1" applyBorder="1" applyAlignment="1">
      <alignment vertical="center" wrapText="1"/>
    </xf>
    <xf numFmtId="3" fontId="19" fillId="6" borderId="5" xfId="1" applyNumberFormat="1" applyFont="1" applyFill="1" applyBorder="1" applyAlignment="1">
      <alignment vertical="center" wrapText="1"/>
    </xf>
    <xf numFmtId="3" fontId="19" fillId="6" borderId="5" xfId="1" applyNumberFormat="1" applyFont="1" applyFill="1" applyBorder="1" applyAlignment="1">
      <alignment horizontal="center" vertical="center" wrapText="1"/>
    </xf>
    <xf numFmtId="3" fontId="19" fillId="6" borderId="5" xfId="1" applyNumberFormat="1" applyFont="1" applyFill="1" applyBorder="1" applyAlignment="1">
      <alignment horizontal="center" vertical="center"/>
    </xf>
    <xf numFmtId="0" fontId="19" fillId="0" borderId="5" xfId="0" applyFont="1" applyBorder="1" applyAlignment="1">
      <alignment horizontal="left" vertical="center" wrapText="1"/>
    </xf>
    <xf numFmtId="3" fontId="19" fillId="0" borderId="5" xfId="1" applyNumberFormat="1" applyFont="1" applyFill="1" applyBorder="1" applyAlignment="1">
      <alignment horizontal="center" vertical="center" wrapText="1"/>
    </xf>
    <xf numFmtId="3" fontId="19" fillId="0" borderId="5" xfId="1" applyNumberFormat="1" applyFont="1" applyFill="1" applyBorder="1" applyAlignment="1">
      <alignment horizontal="center" vertical="center"/>
    </xf>
    <xf numFmtId="0" fontId="19" fillId="2" borderId="5" xfId="0" applyFont="1" applyFill="1" applyBorder="1" applyAlignment="1">
      <alignment vertical="center" wrapText="1"/>
    </xf>
    <xf numFmtId="0" fontId="19" fillId="2" borderId="5" xfId="0" applyFont="1" applyFill="1" applyBorder="1" applyAlignment="1">
      <alignment horizontal="center" vertical="center"/>
    </xf>
    <xf numFmtId="0" fontId="67" fillId="2" borderId="6" xfId="0" applyFont="1" applyFill="1" applyBorder="1" applyAlignment="1">
      <alignment horizontal="left" vertical="center" wrapText="1"/>
    </xf>
    <xf numFmtId="0" fontId="67" fillId="2" borderId="6" xfId="0" applyFont="1" applyFill="1" applyBorder="1" applyAlignment="1">
      <alignment vertical="center" wrapText="1"/>
    </xf>
    <xf numFmtId="0" fontId="67" fillId="2" borderId="6" xfId="0" applyFont="1" applyFill="1" applyBorder="1" applyAlignment="1">
      <alignment horizontal="center" vertical="center" wrapText="1"/>
    </xf>
    <xf numFmtId="0" fontId="67" fillId="0" borderId="6" xfId="0" applyFont="1" applyBorder="1" applyAlignment="1">
      <alignment horizontal="left" vertical="center" wrapText="1"/>
    </xf>
    <xf numFmtId="188" fontId="19" fillId="2" borderId="6" xfId="1" applyNumberFormat="1" applyFont="1" applyFill="1" applyBorder="1" applyAlignment="1">
      <alignment vertical="center"/>
    </xf>
    <xf numFmtId="188" fontId="67" fillId="2" borderId="6" xfId="1" applyNumberFormat="1" applyFont="1" applyFill="1" applyBorder="1" applyAlignment="1">
      <alignment horizontal="center" vertical="center" wrapText="1"/>
    </xf>
    <xf numFmtId="0" fontId="19" fillId="2" borderId="6" xfId="0" applyFont="1" applyFill="1" applyBorder="1" applyAlignment="1">
      <alignment vertical="center"/>
    </xf>
    <xf numFmtId="0" fontId="19" fillId="0" borderId="6" xfId="0" applyFont="1" applyBorder="1" applyAlignment="1">
      <alignment vertical="center" wrapText="1"/>
    </xf>
    <xf numFmtId="0" fontId="19" fillId="0" borderId="6" xfId="0" applyFont="1" applyBorder="1" applyAlignment="1">
      <alignment vertical="center"/>
    </xf>
    <xf numFmtId="0" fontId="68" fillId="0" borderId="6" xfId="0" applyFont="1" applyBorder="1" applyAlignment="1">
      <alignment horizontal="left" vertical="center" wrapText="1"/>
    </xf>
    <xf numFmtId="188" fontId="68" fillId="2" borderId="6" xfId="1" applyNumberFormat="1" applyFont="1" applyFill="1" applyBorder="1" applyAlignment="1">
      <alignment vertical="center"/>
    </xf>
    <xf numFmtId="0" fontId="67" fillId="0" borderId="1" xfId="0" applyFont="1" applyBorder="1" applyAlignment="1">
      <alignment horizontal="left" vertical="top" wrapText="1"/>
    </xf>
    <xf numFmtId="188" fontId="19" fillId="2" borderId="5" xfId="1" applyNumberFormat="1" applyFont="1" applyFill="1" applyBorder="1" applyAlignment="1">
      <alignment vertical="center" wrapText="1"/>
    </xf>
    <xf numFmtId="188" fontId="19" fillId="2" borderId="5" xfId="1" applyNumberFormat="1" applyFont="1" applyFill="1" applyBorder="1" applyAlignment="1">
      <alignment vertical="center"/>
    </xf>
    <xf numFmtId="0" fontId="19" fillId="2" borderId="5" xfId="0" applyFont="1" applyFill="1" applyBorder="1" applyAlignment="1">
      <alignment horizontal="center" vertical="center" wrapText="1"/>
    </xf>
    <xf numFmtId="188" fontId="19" fillId="6" borderId="5" xfId="1" applyNumberFormat="1" applyFont="1" applyFill="1" applyBorder="1" applyAlignment="1">
      <alignment vertical="center"/>
    </xf>
    <xf numFmtId="0" fontId="67" fillId="0" borderId="5" xfId="0" applyFont="1" applyBorder="1" applyAlignment="1">
      <alignment horizontal="center" vertical="center"/>
    </xf>
    <xf numFmtId="188" fontId="67" fillId="0" borderId="5" xfId="1" applyNumberFormat="1" applyFont="1" applyFill="1" applyBorder="1" applyAlignment="1">
      <alignment horizontal="justify" vertical="center"/>
    </xf>
    <xf numFmtId="0" fontId="67" fillId="2" borderId="5" xfId="0" applyFont="1" applyFill="1" applyBorder="1" applyAlignment="1">
      <alignment vertical="center"/>
    </xf>
    <xf numFmtId="188" fontId="67" fillId="2" borderId="5" xfId="1" applyNumberFormat="1" applyFont="1" applyFill="1" applyBorder="1" applyAlignment="1">
      <alignment vertical="center"/>
    </xf>
    <xf numFmtId="0" fontId="67" fillId="2" borderId="5" xfId="0" applyFont="1" applyFill="1" applyBorder="1" applyAlignment="1">
      <alignment horizontal="left" vertical="center" wrapText="1"/>
    </xf>
    <xf numFmtId="0" fontId="19" fillId="6" borderId="5" xfId="0" applyFont="1" applyFill="1" applyBorder="1" applyAlignment="1">
      <alignment horizontal="left" vertical="center" wrapText="1"/>
    </xf>
    <xf numFmtId="0" fontId="19" fillId="2" borderId="5" xfId="0" applyFont="1" applyFill="1" applyBorder="1" applyAlignment="1">
      <alignment horizontal="left" vertical="center" wrapText="1"/>
    </xf>
    <xf numFmtId="3" fontId="19" fillId="2" borderId="5" xfId="0" applyNumberFormat="1" applyFont="1" applyFill="1" applyBorder="1" applyAlignment="1">
      <alignment vertical="center"/>
    </xf>
    <xf numFmtId="3" fontId="19" fillId="2" borderId="5" xfId="0" applyNumberFormat="1" applyFont="1" applyFill="1" applyBorder="1" applyAlignment="1">
      <alignment horizontal="center" vertical="center" wrapText="1"/>
    </xf>
    <xf numFmtId="3" fontId="19" fillId="2" borderId="5" xfId="1" applyNumberFormat="1" applyFont="1" applyFill="1" applyBorder="1" applyAlignment="1">
      <alignment vertical="center" wrapText="1"/>
    </xf>
    <xf numFmtId="188" fontId="19" fillId="0" borderId="5" xfId="1" applyNumberFormat="1" applyFont="1" applyFill="1" applyBorder="1" applyAlignment="1">
      <alignment horizontal="center" vertical="center" wrapText="1"/>
    </xf>
    <xf numFmtId="188" fontId="19" fillId="2" borderId="5" xfId="1" applyNumberFormat="1" applyFont="1" applyFill="1" applyBorder="1" applyAlignment="1">
      <alignment horizontal="center" vertical="center" wrapText="1"/>
    </xf>
    <xf numFmtId="0" fontId="19" fillId="6" borderId="5" xfId="0" applyFont="1" applyFill="1" applyBorder="1" applyAlignment="1">
      <alignment horizontal="centerContinuous" vertical="center" wrapText="1"/>
    </xf>
    <xf numFmtId="0" fontId="67" fillId="2" borderId="36" xfId="0" applyFont="1" applyFill="1" applyBorder="1" applyAlignment="1">
      <alignment horizontal="center" vertical="center"/>
    </xf>
    <xf numFmtId="0" fontId="67" fillId="2" borderId="36" xfId="0" applyFont="1" applyFill="1" applyBorder="1" applyAlignment="1">
      <alignment vertical="center" wrapText="1"/>
    </xf>
    <xf numFmtId="0" fontId="67" fillId="2" borderId="36" xfId="0" applyFont="1" applyFill="1" applyBorder="1" applyAlignment="1">
      <alignment horizontal="center" vertical="center" wrapText="1"/>
    </xf>
    <xf numFmtId="0" fontId="19" fillId="2" borderId="38" xfId="0" applyFont="1" applyFill="1" applyBorder="1" applyAlignment="1">
      <alignment vertical="center" wrapText="1"/>
    </xf>
    <xf numFmtId="0" fontId="19" fillId="2" borderId="36" xfId="0" applyFont="1" applyFill="1" applyBorder="1" applyAlignment="1">
      <alignment vertical="center" wrapText="1"/>
    </xf>
    <xf numFmtId="43" fontId="19" fillId="2" borderId="5" xfId="1" applyFont="1" applyFill="1" applyBorder="1" applyAlignment="1">
      <alignment vertical="center" wrapText="1"/>
    </xf>
    <xf numFmtId="3" fontId="19" fillId="2" borderId="36" xfId="0" applyNumberFormat="1" applyFont="1" applyFill="1" applyBorder="1" applyAlignment="1">
      <alignment horizontal="center" vertical="center" wrapText="1"/>
    </xf>
    <xf numFmtId="0" fontId="67" fillId="2" borderId="0" xfId="0" applyFont="1" applyFill="1" applyAlignment="1">
      <alignment vertical="center"/>
    </xf>
    <xf numFmtId="0" fontId="19" fillId="2" borderId="40" xfId="0" applyFont="1" applyFill="1" applyBorder="1" applyAlignment="1">
      <alignment vertical="center" wrapText="1"/>
    </xf>
    <xf numFmtId="0" fontId="19" fillId="2" borderId="1" xfId="0" applyFont="1" applyFill="1" applyBorder="1" applyAlignment="1">
      <alignment vertical="center" wrapText="1"/>
    </xf>
    <xf numFmtId="0" fontId="67" fillId="2" borderId="38" xfId="0" applyFont="1" applyFill="1" applyBorder="1" applyAlignment="1">
      <alignment horizontal="center" vertical="center" wrapText="1"/>
    </xf>
    <xf numFmtId="0" fontId="19" fillId="2" borderId="41" xfId="0" applyFont="1" applyFill="1" applyBorder="1" applyAlignment="1">
      <alignment vertical="center" wrapText="1"/>
    </xf>
    <xf numFmtId="3" fontId="19" fillId="2" borderId="39" xfId="0" applyNumberFormat="1" applyFont="1" applyFill="1" applyBorder="1" applyAlignment="1">
      <alignment horizontal="center" vertical="center" wrapText="1"/>
    </xf>
    <xf numFmtId="0" fontId="67" fillId="2" borderId="39" xfId="0" applyFont="1" applyFill="1" applyBorder="1" applyAlignment="1">
      <alignment horizontal="center" vertical="center"/>
    </xf>
    <xf numFmtId="0" fontId="67" fillId="2" borderId="39" xfId="0" applyFont="1" applyFill="1" applyBorder="1" applyAlignment="1">
      <alignment vertical="center" wrapText="1"/>
    </xf>
    <xf numFmtId="0" fontId="67" fillId="2" borderId="40" xfId="0" applyFont="1" applyFill="1" applyBorder="1" applyAlignment="1">
      <alignment horizontal="center" vertical="center" wrapText="1"/>
    </xf>
    <xf numFmtId="0" fontId="19" fillId="2" borderId="42" xfId="0" applyFont="1" applyFill="1" applyBorder="1" applyAlignment="1">
      <alignment vertical="center" wrapText="1"/>
    </xf>
    <xf numFmtId="0" fontId="19" fillId="2" borderId="39" xfId="0" applyFont="1" applyFill="1" applyBorder="1" applyAlignment="1">
      <alignment vertical="center" wrapText="1"/>
    </xf>
    <xf numFmtId="0" fontId="67" fillId="2" borderId="5" xfId="0" applyFont="1" applyFill="1" applyBorder="1" applyAlignment="1">
      <alignment vertical="center" wrapText="1"/>
    </xf>
    <xf numFmtId="0" fontId="19" fillId="2" borderId="0" xfId="0" applyFont="1" applyFill="1" applyAlignment="1">
      <alignment vertical="center" wrapText="1"/>
    </xf>
    <xf numFmtId="188" fontId="19" fillId="2" borderId="5" xfId="1" applyNumberFormat="1" applyFont="1" applyFill="1" applyBorder="1" applyAlignment="1">
      <alignment horizontal="center" vertical="center"/>
    </xf>
    <xf numFmtId="188" fontId="19" fillId="2" borderId="0" xfId="0" applyNumberFormat="1" applyFont="1" applyFill="1" applyAlignment="1">
      <alignment horizontal="center" vertical="center"/>
    </xf>
    <xf numFmtId="188" fontId="19" fillId="2" borderId="0" xfId="0" applyNumberFormat="1" applyFont="1" applyFill="1" applyAlignment="1">
      <alignment vertical="center"/>
    </xf>
    <xf numFmtId="0" fontId="115" fillId="6" borderId="0" xfId="0" applyFont="1" applyFill="1" applyAlignment="1">
      <alignment horizontal="left" vertical="center" readingOrder="1"/>
    </xf>
    <xf numFmtId="0" fontId="67" fillId="6" borderId="12" xfId="0" applyFont="1" applyFill="1" applyBorder="1" applyAlignment="1">
      <alignment horizontal="left" vertical="center" wrapText="1"/>
    </xf>
    <xf numFmtId="0" fontId="67" fillId="6" borderId="13" xfId="0" applyFont="1" applyFill="1" applyBorder="1" applyAlignment="1">
      <alignment horizontal="left" vertical="center" wrapText="1"/>
    </xf>
    <xf numFmtId="0" fontId="67" fillId="6" borderId="0" xfId="0" applyFont="1" applyFill="1" applyAlignment="1">
      <alignment horizontal="center" vertical="center" wrapText="1"/>
    </xf>
    <xf numFmtId="188" fontId="67" fillId="6" borderId="5" xfId="1" applyNumberFormat="1" applyFont="1" applyFill="1" applyBorder="1" applyAlignment="1">
      <alignment horizontal="center" vertical="center" wrapText="1"/>
    </xf>
    <xf numFmtId="188" fontId="19" fillId="6" borderId="5" xfId="1" applyNumberFormat="1" applyFont="1" applyFill="1" applyBorder="1" applyAlignment="1">
      <alignment horizontal="center" vertical="center"/>
    </xf>
    <xf numFmtId="0" fontId="67" fillId="0" borderId="5" xfId="0" applyFont="1" applyBorder="1" applyAlignment="1">
      <alignment vertical="center" wrapText="1"/>
    </xf>
    <xf numFmtId="0" fontId="115" fillId="6" borderId="11" xfId="0" applyFont="1" applyFill="1" applyBorder="1" applyAlignment="1">
      <alignment horizontal="left" vertical="center" readingOrder="1"/>
    </xf>
    <xf numFmtId="0" fontId="115" fillId="6" borderId="12" xfId="0" applyFont="1" applyFill="1" applyBorder="1" applyAlignment="1">
      <alignment horizontal="left" vertical="center" wrapText="1" readingOrder="1"/>
    </xf>
    <xf numFmtId="0" fontId="115" fillId="6" borderId="13" xfId="0" applyFont="1" applyFill="1" applyBorder="1" applyAlignment="1">
      <alignment horizontal="left" vertical="center" wrapText="1" readingOrder="1"/>
    </xf>
    <xf numFmtId="0" fontId="19" fillId="6" borderId="36" xfId="0" applyFont="1" applyFill="1" applyBorder="1" applyAlignment="1">
      <alignment vertical="top"/>
    </xf>
    <xf numFmtId="0" fontId="19" fillId="0" borderId="36" xfId="0" applyFont="1" applyBorder="1" applyAlignment="1">
      <alignment vertical="top" wrapText="1"/>
    </xf>
    <xf numFmtId="0" fontId="19" fillId="6" borderId="0" xfId="0" applyFont="1" applyFill="1" applyAlignment="1">
      <alignment vertical="center" wrapText="1"/>
    </xf>
    <xf numFmtId="0" fontId="19" fillId="6" borderId="11" xfId="0" applyFont="1" applyFill="1" applyBorder="1" applyAlignment="1">
      <alignment horizontal="left" vertical="center"/>
    </xf>
    <xf numFmtId="0" fontId="19" fillId="6" borderId="12" xfId="0" applyFont="1" applyFill="1" applyBorder="1" applyAlignment="1">
      <alignment horizontal="left" vertical="center" wrapText="1"/>
    </xf>
    <xf numFmtId="0" fontId="19" fillId="6" borderId="13" xfId="0" applyFont="1" applyFill="1" applyBorder="1" applyAlignment="1">
      <alignment horizontal="left" vertical="center" wrapText="1"/>
    </xf>
    <xf numFmtId="188" fontId="19" fillId="0" borderId="5" xfId="1" applyNumberFormat="1" applyFont="1" applyFill="1" applyBorder="1" applyAlignment="1">
      <alignment horizontal="center" vertical="center"/>
    </xf>
    <xf numFmtId="3" fontId="67" fillId="0" borderId="5" xfId="0" applyNumberFormat="1" applyFont="1" applyBorder="1" applyAlignment="1">
      <alignment vertical="center"/>
    </xf>
    <xf numFmtId="0" fontId="67" fillId="0" borderId="1" xfId="0" applyFont="1" applyBorder="1" applyAlignment="1">
      <alignment horizontal="left" vertical="center" wrapText="1"/>
    </xf>
    <xf numFmtId="0" fontId="67" fillId="0" borderId="1" xfId="0" applyFont="1" applyBorder="1" applyAlignment="1">
      <alignment horizontal="center" vertical="center" wrapText="1"/>
    </xf>
    <xf numFmtId="0" fontId="67" fillId="0" borderId="1" xfId="0" applyFont="1" applyBorder="1" applyAlignment="1">
      <alignment horizontal="center" vertical="center"/>
    </xf>
    <xf numFmtId="188" fontId="67" fillId="0" borderId="1" xfId="1" applyNumberFormat="1" applyFont="1" applyFill="1" applyBorder="1" applyAlignment="1">
      <alignment horizontal="justify" vertical="center"/>
    </xf>
    <xf numFmtId="188" fontId="67" fillId="0" borderId="1" xfId="1" applyNumberFormat="1" applyFont="1" applyFill="1" applyBorder="1" applyAlignment="1">
      <alignment horizontal="center" vertical="center" wrapText="1"/>
    </xf>
    <xf numFmtId="188" fontId="67" fillId="0" borderId="3" xfId="1" applyNumberFormat="1" applyFont="1" applyFill="1" applyBorder="1" applyAlignment="1">
      <alignment horizontal="center" vertical="center" wrapText="1"/>
    </xf>
    <xf numFmtId="0" fontId="67" fillId="0" borderId="1" xfId="0" applyFont="1" applyBorder="1" applyAlignment="1">
      <alignment vertical="center"/>
    </xf>
    <xf numFmtId="188" fontId="19" fillId="0" borderId="5" xfId="1" applyNumberFormat="1" applyFont="1" applyFill="1" applyBorder="1" applyAlignment="1">
      <alignment vertical="center"/>
    </xf>
    <xf numFmtId="188" fontId="67" fillId="0" borderId="5" xfId="1" applyNumberFormat="1" applyFont="1" applyFill="1" applyBorder="1" applyAlignment="1">
      <alignment vertical="center"/>
    </xf>
    <xf numFmtId="0" fontId="67" fillId="0" borderId="5" xfId="0" applyFont="1" applyBorder="1" applyAlignment="1">
      <alignment vertical="center"/>
    </xf>
    <xf numFmtId="187" fontId="19" fillId="0" borderId="0" xfId="0" applyNumberFormat="1" applyFont="1" applyAlignment="1">
      <alignment horizontal="center" vertical="center"/>
    </xf>
    <xf numFmtId="188" fontId="19" fillId="0" borderId="5" xfId="1" applyNumberFormat="1" applyFont="1" applyFill="1" applyBorder="1" applyAlignment="1">
      <alignment vertical="center" wrapText="1"/>
    </xf>
    <xf numFmtId="43" fontId="19" fillId="0" borderId="5" xfId="1" applyFont="1" applyFill="1" applyBorder="1" applyAlignment="1">
      <alignment horizontal="center" vertical="center" wrapText="1"/>
    </xf>
    <xf numFmtId="188" fontId="19" fillId="0" borderId="0" xfId="0" applyNumberFormat="1" applyFont="1" applyAlignment="1">
      <alignment horizontal="center" vertical="center"/>
    </xf>
    <xf numFmtId="0" fontId="19" fillId="6" borderId="0" xfId="0" applyFont="1" applyFill="1" applyAlignment="1">
      <alignment horizontal="left" vertical="center"/>
    </xf>
    <xf numFmtId="188" fontId="19" fillId="6" borderId="5" xfId="1" applyNumberFormat="1" applyFont="1" applyFill="1" applyBorder="1" applyAlignment="1">
      <alignment horizontal="center" vertical="center" wrapText="1"/>
    </xf>
    <xf numFmtId="0" fontId="19" fillId="0" borderId="0" xfId="0" applyFont="1" applyAlignment="1">
      <alignment horizontal="left" vertical="center" wrapText="1" readingOrder="1"/>
    </xf>
    <xf numFmtId="0" fontId="19" fillId="6" borderId="37" xfId="0" applyFont="1" applyFill="1" applyBorder="1" applyAlignment="1">
      <alignment horizontal="left" vertical="center"/>
    </xf>
    <xf numFmtId="0" fontId="19" fillId="0" borderId="0" xfId="0" applyFont="1" applyAlignment="1">
      <alignment horizontal="centerContinuous" vertical="center"/>
    </xf>
    <xf numFmtId="0" fontId="67" fillId="0" borderId="34" xfId="0" applyFont="1" applyBorder="1" applyAlignment="1">
      <alignment vertical="center"/>
    </xf>
    <xf numFmtId="0" fontId="67" fillId="0" borderId="0" xfId="0" applyFont="1" applyAlignment="1">
      <alignment vertical="center"/>
    </xf>
    <xf numFmtId="0" fontId="19" fillId="0" borderId="1" xfId="0" applyFont="1" applyBorder="1" applyAlignment="1">
      <alignment horizontal="left" vertical="center" wrapText="1"/>
    </xf>
    <xf numFmtId="0" fontId="19" fillId="0" borderId="1" xfId="0" applyFont="1" applyBorder="1" applyAlignment="1">
      <alignment horizontal="centerContinuous" vertical="center" wrapText="1"/>
    </xf>
    <xf numFmtId="3" fontId="19" fillId="0" borderId="1" xfId="0" applyNumberFormat="1" applyFont="1" applyBorder="1" applyAlignment="1">
      <alignment horizontal="centerContinuous" vertical="center"/>
    </xf>
    <xf numFmtId="0" fontId="19" fillId="0" borderId="1" xfId="0" applyFont="1" applyBorder="1" applyAlignment="1">
      <alignment horizontal="center" vertical="center"/>
    </xf>
    <xf numFmtId="0" fontId="19" fillId="0" borderId="1" xfId="0" applyFont="1" applyBorder="1" applyAlignment="1">
      <alignment horizontal="centerContinuous" vertical="center"/>
    </xf>
    <xf numFmtId="0" fontId="19" fillId="0" borderId="4" xfId="0" applyFont="1" applyBorder="1" applyAlignment="1">
      <alignment horizontal="centerContinuous" vertical="center" wrapText="1"/>
    </xf>
    <xf numFmtId="0" fontId="19" fillId="0" borderId="4" xfId="0" applyFont="1" applyBorder="1" applyAlignment="1">
      <alignment horizontal="center" vertical="center" wrapText="1"/>
    </xf>
    <xf numFmtId="43" fontId="19" fillId="6" borderId="10" xfId="1" applyFont="1" applyFill="1" applyBorder="1" applyAlignment="1">
      <alignment horizontal="center" vertical="center" wrapText="1"/>
    </xf>
    <xf numFmtId="0" fontId="19" fillId="6" borderId="5" xfId="0" applyFont="1" applyFill="1" applyBorder="1" applyAlignment="1">
      <alignment horizontal="left" vertical="center"/>
    </xf>
    <xf numFmtId="0" fontId="19" fillId="6" borderId="5" xfId="0" applyFont="1" applyFill="1" applyBorder="1" applyAlignment="1">
      <alignment horizontal="centerContinuous" vertical="center"/>
    </xf>
    <xf numFmtId="3" fontId="19" fillId="6" borderId="5" xfId="0" applyNumberFormat="1" applyFont="1" applyFill="1" applyBorder="1" applyAlignment="1">
      <alignment horizontal="centerContinuous" vertical="center"/>
    </xf>
    <xf numFmtId="0" fontId="67" fillId="0" borderId="43" xfId="0" applyFont="1" applyBorder="1" applyAlignment="1">
      <alignment horizontal="center" vertical="center"/>
    </xf>
    <xf numFmtId="0" fontId="67" fillId="0" borderId="43" xfId="0" applyFont="1" applyBorder="1" applyAlignment="1">
      <alignment vertical="center" wrapText="1"/>
    </xf>
    <xf numFmtId="0" fontId="67" fillId="0" borderId="43" xfId="0" applyFont="1" applyBorder="1" applyAlignment="1">
      <alignment horizontal="center" vertical="center" wrapText="1"/>
    </xf>
    <xf numFmtId="0" fontId="19" fillId="0" borderId="44" xfId="0" applyFont="1" applyBorder="1" applyAlignment="1">
      <alignment vertical="center" wrapText="1"/>
    </xf>
    <xf numFmtId="0" fontId="19" fillId="0" borderId="10" xfId="0" applyFont="1" applyBorder="1" applyAlignment="1">
      <alignment vertical="center" wrapText="1"/>
    </xf>
    <xf numFmtId="0" fontId="19" fillId="0" borderId="43" xfId="0" applyFont="1" applyBorder="1" applyAlignment="1">
      <alignment vertical="center" wrapText="1"/>
    </xf>
    <xf numFmtId="43" fontId="19" fillId="0" borderId="10" xfId="1" applyFont="1" applyFill="1" applyBorder="1" applyAlignment="1">
      <alignment vertical="center" wrapText="1"/>
    </xf>
    <xf numFmtId="3" fontId="19" fillId="0" borderId="43" xfId="0" applyNumberFormat="1" applyFont="1" applyBorder="1" applyAlignment="1">
      <alignment horizontal="center" vertical="center" wrapText="1"/>
    </xf>
    <xf numFmtId="0" fontId="19" fillId="0" borderId="45" xfId="0" applyFont="1" applyBorder="1" applyAlignment="1">
      <alignment vertical="center" wrapText="1"/>
    </xf>
    <xf numFmtId="0" fontId="28" fillId="0" borderId="0" xfId="0" applyFont="1" applyAlignment="1">
      <alignment horizontal="center"/>
    </xf>
    <xf numFmtId="0" fontId="121" fillId="2" borderId="5" xfId="14" applyFont="1" applyFill="1" applyBorder="1" applyAlignment="1">
      <alignment horizontal="left" vertical="top" wrapText="1"/>
    </xf>
    <xf numFmtId="3" fontId="19" fillId="0" borderId="1" xfId="0" applyNumberFormat="1" applyFont="1" applyBorder="1" applyAlignment="1">
      <alignment horizontal="center" vertical="center"/>
    </xf>
    <xf numFmtId="0" fontId="28" fillId="0" borderId="0" xfId="0" applyFont="1" applyAlignment="1">
      <alignment horizontal="left"/>
    </xf>
    <xf numFmtId="0" fontId="123" fillId="0" borderId="0" xfId="0" applyFont="1" applyAlignment="1">
      <alignment horizontal="left" readingOrder="1"/>
    </xf>
    <xf numFmtId="187" fontId="28" fillId="0" borderId="0" xfId="0" applyNumberFormat="1" applyFont="1"/>
    <xf numFmtId="187" fontId="28" fillId="0" borderId="0" xfId="0" applyNumberFormat="1" applyFont="1" applyAlignment="1">
      <alignment horizontal="left" wrapText="1"/>
    </xf>
    <xf numFmtId="187" fontId="28" fillId="0" borderId="8" xfId="0" applyNumberFormat="1" applyFont="1" applyBorder="1" applyAlignment="1">
      <alignment horizontal="left" wrapText="1"/>
    </xf>
    <xf numFmtId="0" fontId="28" fillId="0" borderId="2" xfId="0" applyFont="1" applyBorder="1"/>
    <xf numFmtId="0" fontId="28" fillId="0" borderId="3" xfId="0" applyFont="1" applyBorder="1"/>
    <xf numFmtId="0" fontId="28" fillId="0" borderId="4" xfId="0" applyFont="1" applyBorder="1"/>
    <xf numFmtId="0" fontId="28" fillId="0" borderId="7" xfId="0" applyFont="1" applyBorder="1"/>
    <xf numFmtId="0" fontId="28" fillId="0" borderId="8" xfId="0" applyFont="1" applyBorder="1"/>
    <xf numFmtId="0" fontId="28" fillId="0" borderId="9" xfId="0" applyFont="1" applyBorder="1"/>
    <xf numFmtId="0" fontId="28" fillId="0" borderId="5" xfId="0" applyFont="1" applyBorder="1"/>
    <xf numFmtId="0" fontId="27" fillId="0" borderId="5" xfId="0" applyFont="1" applyBorder="1" applyAlignment="1">
      <alignment horizontal="center" vertical="center" wrapText="1"/>
    </xf>
    <xf numFmtId="0" fontId="27" fillId="0" borderId="5" xfId="0" applyFont="1" applyBorder="1" applyAlignment="1">
      <alignment horizontal="center" vertical="top" wrapText="1"/>
    </xf>
    <xf numFmtId="188" fontId="27" fillId="0" borderId="5" xfId="1" applyNumberFormat="1" applyFont="1" applyFill="1" applyBorder="1" applyAlignment="1">
      <alignment horizontal="center" vertical="top" wrapText="1"/>
    </xf>
    <xf numFmtId="0" fontId="27" fillId="0" borderId="10" xfId="0" applyFont="1" applyBorder="1" applyAlignment="1">
      <alignment horizontal="center" vertical="top" wrapText="1"/>
    </xf>
    <xf numFmtId="0" fontId="28" fillId="6" borderId="5" xfId="20" applyFont="1" applyFill="1" applyBorder="1" applyAlignment="1">
      <alignment horizontal="center" vertical="center"/>
    </xf>
    <xf numFmtId="188" fontId="28" fillId="6" borderId="13" xfId="1" applyNumberFormat="1" applyFont="1" applyFill="1" applyBorder="1"/>
    <xf numFmtId="188" fontId="28" fillId="13" borderId="5" xfId="1" applyNumberFormat="1" applyFont="1" applyFill="1" applyBorder="1" applyAlignment="1">
      <alignment vertical="top"/>
    </xf>
    <xf numFmtId="188" fontId="28" fillId="13" borderId="5" xfId="4" applyNumberFormat="1" applyFont="1" applyFill="1" applyBorder="1" applyAlignment="1">
      <alignment vertical="top"/>
    </xf>
    <xf numFmtId="188" fontId="28" fillId="13" borderId="5" xfId="1" applyNumberFormat="1" applyFont="1" applyFill="1" applyBorder="1" applyAlignment="1">
      <alignment horizontal="left" vertical="top" wrapText="1"/>
    </xf>
    <xf numFmtId="0" fontId="28" fillId="0" borderId="6" xfId="0" applyFont="1" applyBorder="1"/>
    <xf numFmtId="0" fontId="28" fillId="2" borderId="6" xfId="0" applyFont="1" applyFill="1" applyBorder="1" applyAlignment="1">
      <alignment horizontal="center" vertical="top"/>
    </xf>
    <xf numFmtId="0" fontId="28" fillId="0" borderId="37" xfId="0" applyFont="1" applyBorder="1" applyAlignment="1">
      <alignment horizontal="left" vertical="top" wrapText="1"/>
    </xf>
    <xf numFmtId="0" fontId="28" fillId="0" borderId="37" xfId="0" applyFont="1" applyBorder="1" applyAlignment="1">
      <alignment horizontal="center" vertical="top" wrapText="1"/>
    </xf>
    <xf numFmtId="0" fontId="27" fillId="0" borderId="37" xfId="0" applyFont="1" applyBorder="1" applyAlignment="1">
      <alignment horizontal="left" vertical="top" wrapText="1"/>
    </xf>
    <xf numFmtId="188" fontId="27" fillId="0" borderId="37" xfId="1" applyNumberFormat="1" applyFont="1" applyFill="1" applyBorder="1" applyAlignment="1">
      <alignment horizontal="center" vertical="top" shrinkToFit="1"/>
    </xf>
    <xf numFmtId="188" fontId="28" fillId="0" borderId="37" xfId="1" applyNumberFormat="1" applyFont="1" applyFill="1" applyBorder="1" applyAlignment="1">
      <alignment horizontal="center" vertical="top" shrinkToFit="1"/>
    </xf>
    <xf numFmtId="0" fontId="28" fillId="0" borderId="37" xfId="0" applyFont="1" applyBorder="1" applyAlignment="1">
      <alignment horizontal="center" vertical="top"/>
    </xf>
    <xf numFmtId="0" fontId="28" fillId="0" borderId="46" xfId="0" applyFont="1" applyBorder="1" applyAlignment="1">
      <alignment horizontal="left" vertical="top" wrapText="1"/>
    </xf>
    <xf numFmtId="0" fontId="28" fillId="0" borderId="46" xfId="0" applyFont="1" applyBorder="1" applyAlignment="1">
      <alignment horizontal="center" vertical="top" wrapText="1"/>
    </xf>
    <xf numFmtId="188" fontId="28" fillId="14" borderId="46" xfId="1" applyNumberFormat="1" applyFont="1" applyFill="1" applyBorder="1" applyAlignment="1">
      <alignment horizontal="center" vertical="top" shrinkToFit="1"/>
    </xf>
    <xf numFmtId="0" fontId="28" fillId="14" borderId="46" xfId="0" applyFont="1" applyFill="1" applyBorder="1" applyAlignment="1">
      <alignment horizontal="left" vertical="top" wrapText="1"/>
    </xf>
    <xf numFmtId="0" fontId="28" fillId="0" borderId="46" xfId="0" applyFont="1" applyBorder="1" applyAlignment="1">
      <alignment horizontal="center" vertical="top"/>
    </xf>
    <xf numFmtId="0" fontId="28" fillId="2" borderId="6" xfId="0" applyFont="1" applyFill="1" applyBorder="1" applyAlignment="1">
      <alignment vertical="top"/>
    </xf>
    <xf numFmtId="0" fontId="28" fillId="0" borderId="47" xfId="0" applyFont="1" applyBorder="1" applyAlignment="1">
      <alignment horizontal="left" vertical="top" wrapText="1"/>
    </xf>
    <xf numFmtId="0" fontId="28" fillId="0" borderId="47" xfId="0" applyFont="1" applyBorder="1" applyAlignment="1">
      <alignment horizontal="center" vertical="top" wrapText="1"/>
    </xf>
    <xf numFmtId="188" fontId="28" fillId="14" borderId="47" xfId="1" applyNumberFormat="1" applyFont="1" applyFill="1" applyBorder="1" applyAlignment="1">
      <alignment horizontal="center" vertical="top" shrinkToFit="1"/>
    </xf>
    <xf numFmtId="0" fontId="28" fillId="14" borderId="47" xfId="0" applyFont="1" applyFill="1" applyBorder="1" applyAlignment="1">
      <alignment horizontal="left" vertical="top" wrapText="1"/>
    </xf>
    <xf numFmtId="0" fontId="28" fillId="0" borderId="47" xfId="0" applyFont="1" applyBorder="1" applyAlignment="1">
      <alignment horizontal="center" vertical="top"/>
    </xf>
    <xf numFmtId="0" fontId="28" fillId="0" borderId="6" xfId="0" applyFont="1" applyBorder="1" applyAlignment="1">
      <alignment horizontal="left" vertical="top" wrapText="1"/>
    </xf>
    <xf numFmtId="0" fontId="28" fillId="0" borderId="6" xfId="0" applyFont="1" applyBorder="1" applyAlignment="1">
      <alignment horizontal="center" vertical="top" wrapText="1"/>
    </xf>
    <xf numFmtId="0" fontId="28" fillId="0" borderId="34" xfId="0" applyFont="1" applyBorder="1" applyAlignment="1">
      <alignment horizontal="left" vertical="top" wrapText="1"/>
    </xf>
    <xf numFmtId="188" fontId="28" fillId="14" borderId="6" xfId="1" applyNumberFormat="1" applyFont="1" applyFill="1" applyBorder="1" applyAlignment="1">
      <alignment horizontal="center" vertical="top" shrinkToFit="1"/>
    </xf>
    <xf numFmtId="188" fontId="28" fillId="14" borderId="35" xfId="1" applyNumberFormat="1" applyFont="1" applyFill="1" applyBorder="1" applyAlignment="1">
      <alignment horizontal="center" vertical="top" shrinkToFit="1"/>
    </xf>
    <xf numFmtId="0" fontId="28" fillId="14" borderId="6" xfId="0" applyFont="1" applyFill="1" applyBorder="1" applyAlignment="1">
      <alignment horizontal="left" vertical="top" wrapText="1"/>
    </xf>
    <xf numFmtId="0" fontId="28" fillId="0" borderId="6" xfId="0" applyFont="1" applyBorder="1" applyAlignment="1">
      <alignment horizontal="center" vertical="top"/>
    </xf>
    <xf numFmtId="0" fontId="27" fillId="0" borderId="34" xfId="0" applyFont="1" applyBorder="1" applyAlignment="1">
      <alignment horizontal="left" vertical="top" wrapText="1"/>
    </xf>
    <xf numFmtId="188" fontId="27" fillId="14" borderId="6" xfId="1" applyNumberFormat="1" applyFont="1" applyFill="1" applyBorder="1" applyAlignment="1">
      <alignment horizontal="center" vertical="top" shrinkToFit="1"/>
    </xf>
    <xf numFmtId="0" fontId="28" fillId="0" borderId="6" xfId="0" applyFont="1" applyBorder="1" applyAlignment="1">
      <alignment horizontal="center" vertical="center"/>
    </xf>
    <xf numFmtId="0" fontId="28" fillId="0" borderId="6" xfId="0" applyFont="1" applyBorder="1" applyAlignment="1">
      <alignment vertical="top"/>
    </xf>
    <xf numFmtId="0" fontId="28" fillId="0" borderId="0" xfId="0" applyFont="1" applyAlignment="1">
      <alignment horizontal="left" vertical="top" wrapText="1"/>
    </xf>
    <xf numFmtId="0" fontId="28" fillId="0" borderId="35" xfId="0" applyFont="1" applyBorder="1" applyAlignment="1">
      <alignment horizontal="center" vertical="top" wrapText="1"/>
    </xf>
    <xf numFmtId="188" fontId="28" fillId="14" borderId="34" xfId="1" applyNumberFormat="1" applyFont="1" applyFill="1" applyBorder="1" applyAlignment="1">
      <alignment horizontal="center" vertical="top" shrinkToFit="1"/>
    </xf>
    <xf numFmtId="0" fontId="28" fillId="14" borderId="34" xfId="0" applyFont="1" applyFill="1" applyBorder="1" applyAlignment="1">
      <alignment horizontal="left" vertical="top" wrapText="1"/>
    </xf>
    <xf numFmtId="188" fontId="124" fillId="14" borderId="6" xfId="1" applyNumberFormat="1" applyFont="1" applyFill="1" applyBorder="1" applyAlignment="1">
      <alignment horizontal="center" vertical="top" shrinkToFit="1"/>
    </xf>
    <xf numFmtId="0" fontId="28" fillId="14" borderId="6" xfId="0" applyFont="1" applyFill="1" applyBorder="1" applyAlignment="1">
      <alignment horizontal="center" vertical="top"/>
    </xf>
    <xf numFmtId="0" fontId="28" fillId="0" borderId="48" xfId="0" applyFont="1" applyBorder="1" applyAlignment="1">
      <alignment horizontal="left" vertical="top" wrapText="1"/>
    </xf>
    <xf numFmtId="0" fontId="28" fillId="0" borderId="49" xfId="0" applyFont="1" applyBorder="1" applyAlignment="1">
      <alignment horizontal="left" vertical="top" wrapText="1"/>
    </xf>
    <xf numFmtId="0" fontId="28" fillId="0" borderId="50" xfId="0" applyFont="1" applyBorder="1" applyAlignment="1">
      <alignment horizontal="center" vertical="top" wrapText="1"/>
    </xf>
    <xf numFmtId="0" fontId="28" fillId="0" borderId="48" xfId="0" applyFont="1" applyBorder="1" applyAlignment="1">
      <alignment horizontal="center" vertical="top" wrapText="1"/>
    </xf>
    <xf numFmtId="188" fontId="28" fillId="14" borderId="48" xfId="1" applyNumberFormat="1" applyFont="1" applyFill="1" applyBorder="1" applyAlignment="1">
      <alignment horizontal="center" vertical="top" shrinkToFit="1"/>
    </xf>
    <xf numFmtId="188" fontId="28" fillId="14" borderId="49" xfId="1" applyNumberFormat="1" applyFont="1" applyFill="1" applyBorder="1" applyAlignment="1">
      <alignment horizontal="center" vertical="top" shrinkToFit="1"/>
    </xf>
    <xf numFmtId="188" fontId="28" fillId="2" borderId="49" xfId="1" applyNumberFormat="1" applyFont="1" applyFill="1" applyBorder="1"/>
    <xf numFmtId="0" fontId="28" fillId="14" borderId="48" xfId="0" applyFont="1" applyFill="1" applyBorder="1" applyAlignment="1">
      <alignment horizontal="center" vertical="top"/>
    </xf>
    <xf numFmtId="0" fontId="28" fillId="6" borderId="6" xfId="0" applyFont="1" applyFill="1" applyBorder="1" applyAlignment="1">
      <alignment horizontal="center" vertical="center"/>
    </xf>
    <xf numFmtId="188" fontId="28" fillId="6" borderId="5" xfId="1" applyNumberFormat="1" applyFont="1" applyFill="1" applyBorder="1" applyAlignment="1">
      <alignment horizontal="center" vertical="top" wrapText="1"/>
    </xf>
    <xf numFmtId="188" fontId="27" fillId="6" borderId="2" xfId="1" applyNumberFormat="1" applyFont="1" applyFill="1" applyBorder="1" applyAlignment="1">
      <alignment horizontal="left" vertical="top" wrapText="1"/>
    </xf>
    <xf numFmtId="188" fontId="28" fillId="6" borderId="1" xfId="1" applyNumberFormat="1" applyFont="1" applyFill="1" applyBorder="1" applyAlignment="1">
      <alignment vertical="center"/>
    </xf>
    <xf numFmtId="188" fontId="28" fillId="6" borderId="1" xfId="1" applyNumberFormat="1" applyFont="1" applyFill="1" applyBorder="1" applyAlignment="1">
      <alignment horizontal="center" vertical="center"/>
    </xf>
    <xf numFmtId="188" fontId="27" fillId="0" borderId="5" xfId="1" applyNumberFormat="1" applyFont="1" applyBorder="1" applyAlignment="1">
      <alignment horizontal="center" vertical="top" wrapText="1"/>
    </xf>
    <xf numFmtId="188" fontId="28" fillId="0" borderId="5" xfId="1" applyNumberFormat="1" applyFont="1" applyBorder="1" applyAlignment="1">
      <alignment vertical="top"/>
    </xf>
    <xf numFmtId="0" fontId="28" fillId="2" borderId="1" xfId="0" applyFont="1" applyFill="1" applyBorder="1" applyAlignment="1">
      <alignment vertical="top"/>
    </xf>
    <xf numFmtId="188" fontId="27" fillId="0" borderId="5" xfId="1" applyNumberFormat="1" applyFont="1" applyBorder="1" applyAlignment="1">
      <alignment horizontal="left" vertical="top" wrapText="1"/>
    </xf>
    <xf numFmtId="188" fontId="27" fillId="0" borderId="5" xfId="1" applyNumberFormat="1" applyFont="1" applyBorder="1" applyAlignment="1">
      <alignment horizontal="left" vertical="center" wrapText="1"/>
    </xf>
    <xf numFmtId="188" fontId="27" fillId="0" borderId="5" xfId="1" applyNumberFormat="1" applyFont="1" applyBorder="1" applyAlignment="1">
      <alignment horizontal="center" vertical="center" wrapText="1"/>
    </xf>
    <xf numFmtId="49" fontId="27" fillId="0" borderId="5" xfId="1" applyNumberFormat="1" applyFont="1" applyBorder="1" applyAlignment="1">
      <alignment horizontal="left" vertical="top" wrapText="1"/>
    </xf>
    <xf numFmtId="188" fontId="27" fillId="6" borderId="1" xfId="1" applyNumberFormat="1" applyFont="1" applyFill="1" applyBorder="1" applyAlignment="1">
      <alignment horizontal="center" vertical="center" wrapText="1"/>
    </xf>
    <xf numFmtId="188" fontId="28" fillId="6" borderId="1" xfId="0" applyNumberFormat="1" applyFont="1" applyFill="1" applyBorder="1" applyAlignment="1">
      <alignment horizontal="center" vertical="center"/>
    </xf>
    <xf numFmtId="0" fontId="28" fillId="6" borderId="1" xfId="0" applyFont="1" applyFill="1" applyBorder="1" applyAlignment="1">
      <alignment horizontal="left" vertical="top" wrapText="1"/>
    </xf>
    <xf numFmtId="0" fontId="28" fillId="0" borderId="5" xfId="0" applyFont="1" applyBorder="1" applyAlignment="1">
      <alignment horizontal="left" vertical="top" wrapText="1"/>
    </xf>
    <xf numFmtId="0" fontId="28" fillId="0" borderId="5" xfId="0" applyFont="1" applyBorder="1" applyAlignment="1">
      <alignment horizontal="center" vertical="top" wrapText="1"/>
    </xf>
    <xf numFmtId="49" fontId="27" fillId="0" borderId="5" xfId="1" applyNumberFormat="1" applyFont="1" applyFill="1" applyBorder="1" applyAlignment="1">
      <alignment horizontal="left" vertical="top" wrapText="1"/>
    </xf>
    <xf numFmtId="188" fontId="28" fillId="0" borderId="5" xfId="1" applyNumberFormat="1" applyFont="1" applyFill="1" applyBorder="1" applyAlignment="1">
      <alignment vertical="top" wrapText="1"/>
    </xf>
    <xf numFmtId="188" fontId="27" fillId="0" borderId="5" xfId="1" applyNumberFormat="1" applyFont="1" applyFill="1" applyBorder="1" applyAlignment="1">
      <alignment horizontal="left" vertical="top" wrapText="1"/>
    </xf>
    <xf numFmtId="188" fontId="28" fillId="0" borderId="5" xfId="1" applyNumberFormat="1" applyFont="1" applyFill="1" applyBorder="1" applyAlignment="1">
      <alignment vertical="top"/>
    </xf>
    <xf numFmtId="0" fontId="28" fillId="0" borderId="5" xfId="0" applyFont="1" applyBorder="1" applyAlignment="1">
      <alignment vertical="top"/>
    </xf>
    <xf numFmtId="0" fontId="124" fillId="0" borderId="0" xfId="0" applyFont="1"/>
    <xf numFmtId="188" fontId="28" fillId="0" borderId="5" xfId="0" applyNumberFormat="1" applyFont="1" applyBorder="1" applyAlignment="1">
      <alignment horizontal="left" vertical="top" wrapText="1"/>
    </xf>
    <xf numFmtId="188" fontId="28" fillId="0" borderId="5" xfId="1" applyNumberFormat="1" applyFont="1" applyBorder="1" applyAlignment="1">
      <alignment horizontal="center" vertical="top" shrinkToFit="1"/>
    </xf>
    <xf numFmtId="0" fontId="28" fillId="0" borderId="10" xfId="0" applyFont="1" applyBorder="1"/>
    <xf numFmtId="0" fontId="28" fillId="0" borderId="1" xfId="0" applyFont="1" applyBorder="1" applyAlignment="1">
      <alignment horizontal="center"/>
    </xf>
    <xf numFmtId="188" fontId="28" fillId="6" borderId="5" xfId="1" applyNumberFormat="1" applyFont="1" applyFill="1" applyBorder="1" applyAlignment="1">
      <alignment horizontal="center" vertical="center"/>
    </xf>
    <xf numFmtId="188" fontId="28" fillId="6" borderId="5" xfId="1" applyNumberFormat="1" applyFont="1" applyFill="1" applyBorder="1" applyAlignment="1">
      <alignment horizontal="right" vertical="center" wrapText="1"/>
    </xf>
    <xf numFmtId="190" fontId="27" fillId="6" borderId="5" xfId="1" applyNumberFormat="1" applyFont="1" applyFill="1" applyBorder="1" applyAlignment="1">
      <alignment horizontal="right" vertical="center" wrapText="1"/>
    </xf>
    <xf numFmtId="0" fontId="28" fillId="6" borderId="5" xfId="0" applyFont="1" applyFill="1" applyBorder="1" applyAlignment="1">
      <alignment horizontal="center"/>
    </xf>
    <xf numFmtId="0" fontId="28" fillId="0" borderId="34" xfId="0" applyFont="1" applyBorder="1"/>
    <xf numFmtId="0" fontId="28" fillId="0" borderId="1" xfId="0" applyFont="1" applyBorder="1"/>
    <xf numFmtId="0" fontId="28" fillId="0" borderId="53" xfId="0" applyFont="1" applyBorder="1" applyAlignment="1">
      <alignment horizontal="left" vertical="top" wrapText="1"/>
    </xf>
    <xf numFmtId="0" fontId="28" fillId="0" borderId="37" xfId="0" applyFont="1" applyBorder="1" applyAlignment="1">
      <alignment vertical="top" wrapText="1"/>
    </xf>
    <xf numFmtId="188" fontId="28" fillId="0" borderId="37" xfId="1" applyNumberFormat="1" applyFont="1" applyBorder="1" applyAlignment="1">
      <alignment horizontal="right" vertical="top" wrapText="1"/>
    </xf>
    <xf numFmtId="188" fontId="36" fillId="0" borderId="37" xfId="1" applyNumberFormat="1" applyFont="1" applyBorder="1" applyAlignment="1">
      <alignment vertical="top" wrapText="1"/>
    </xf>
    <xf numFmtId="0" fontId="28" fillId="0" borderId="37" xfId="0" applyFont="1" applyBorder="1" applyAlignment="1">
      <alignment vertical="top"/>
    </xf>
    <xf numFmtId="188" fontId="28" fillId="0" borderId="37" xfId="0" applyNumberFormat="1" applyFont="1" applyBorder="1" applyAlignment="1">
      <alignment vertical="top"/>
    </xf>
    <xf numFmtId="188" fontId="28" fillId="0" borderId="37" xfId="0" applyNumberFormat="1" applyFont="1" applyBorder="1" applyAlignment="1">
      <alignment horizontal="center" vertical="top" wrapText="1"/>
    </xf>
    <xf numFmtId="0" fontId="28" fillId="0" borderId="37" xfId="0" applyFont="1" applyBorder="1"/>
    <xf numFmtId="0" fontId="28" fillId="0" borderId="54" xfId="0" applyFont="1" applyBorder="1" applyAlignment="1">
      <alignment horizontal="left" vertical="top" wrapText="1"/>
    </xf>
    <xf numFmtId="0" fontId="28" fillId="0" borderId="46" xfId="0" applyFont="1" applyBorder="1" applyAlignment="1">
      <alignment vertical="top" wrapText="1"/>
    </xf>
    <xf numFmtId="188" fontId="36" fillId="0" borderId="46" xfId="1" applyNumberFormat="1" applyFont="1" applyBorder="1" applyAlignment="1">
      <alignment vertical="top" wrapText="1"/>
    </xf>
    <xf numFmtId="0" fontId="28" fillId="0" borderId="46" xfId="0" applyFont="1" applyBorder="1" applyAlignment="1">
      <alignment vertical="top"/>
    </xf>
    <xf numFmtId="188" fontId="28" fillId="0" borderId="46" xfId="0" applyNumberFormat="1" applyFont="1" applyBorder="1" applyAlignment="1">
      <alignment vertical="top"/>
    </xf>
    <xf numFmtId="0" fontId="28" fillId="0" borderId="46" xfId="0" applyFont="1" applyBorder="1"/>
    <xf numFmtId="188" fontId="28" fillId="0" borderId="46" xfId="1" applyNumberFormat="1" applyFont="1" applyBorder="1" applyAlignment="1">
      <alignment vertical="top" wrapText="1"/>
    </xf>
    <xf numFmtId="0" fontId="28" fillId="0" borderId="55" xfId="0" applyFont="1" applyBorder="1" applyAlignment="1">
      <alignment horizontal="left" vertical="top" wrapText="1"/>
    </xf>
    <xf numFmtId="188" fontId="28" fillId="0" borderId="47" xfId="1" applyNumberFormat="1" applyFont="1" applyBorder="1" applyAlignment="1">
      <alignment vertical="top" wrapText="1"/>
    </xf>
    <xf numFmtId="0" fontId="28" fillId="0" borderId="47" xfId="0" applyFont="1" applyBorder="1" applyAlignment="1">
      <alignment vertical="top"/>
    </xf>
    <xf numFmtId="188" fontId="28" fillId="0" borderId="47" xfId="0" applyNumberFormat="1" applyFont="1" applyBorder="1" applyAlignment="1">
      <alignment vertical="top"/>
    </xf>
    <xf numFmtId="188" fontId="28" fillId="0" borderId="47" xfId="1" applyNumberFormat="1" applyFont="1" applyBorder="1" applyAlignment="1">
      <alignment vertical="top"/>
    </xf>
    <xf numFmtId="0" fontId="28" fillId="0" borderId="47" xfId="0" applyFont="1" applyBorder="1"/>
    <xf numFmtId="0" fontId="28" fillId="0" borderId="56" xfId="0" applyFont="1" applyBorder="1" applyAlignment="1">
      <alignment horizontal="left" vertical="top" wrapText="1"/>
    </xf>
    <xf numFmtId="0" fontId="28" fillId="0" borderId="57" xfId="0" applyFont="1" applyBorder="1" applyAlignment="1">
      <alignment horizontal="left" vertical="top" wrapText="1"/>
    </xf>
    <xf numFmtId="0" fontId="28" fillId="0" borderId="57" xfId="0" applyFont="1" applyBorder="1" applyAlignment="1">
      <alignment horizontal="center" vertical="top" wrapText="1"/>
    </xf>
    <xf numFmtId="0" fontId="28" fillId="0" borderId="57" xfId="0" applyFont="1" applyBorder="1" applyAlignment="1">
      <alignment vertical="top" wrapText="1"/>
    </xf>
    <xf numFmtId="188" fontId="36" fillId="0" borderId="57" xfId="1" applyNumberFormat="1" applyFont="1" applyBorder="1" applyAlignment="1">
      <alignment vertical="top" wrapText="1"/>
    </xf>
    <xf numFmtId="0" fontId="28" fillId="0" borderId="57" xfId="0" applyFont="1" applyBorder="1" applyAlignment="1">
      <alignment vertical="top"/>
    </xf>
    <xf numFmtId="188" fontId="28" fillId="0" borderId="57" xfId="0" applyNumberFormat="1" applyFont="1" applyBorder="1" applyAlignment="1">
      <alignment vertical="top"/>
    </xf>
    <xf numFmtId="188" fontId="28" fillId="0" borderId="57" xfId="1" applyNumberFormat="1" applyFont="1" applyBorder="1" applyAlignment="1">
      <alignment horizontal="center" vertical="top" shrinkToFit="1"/>
    </xf>
    <xf numFmtId="0" fontId="28" fillId="0" borderId="57" xfId="0" applyFont="1" applyBorder="1"/>
    <xf numFmtId="188" fontId="27" fillId="6" borderId="52" xfId="1" applyNumberFormat="1" applyFont="1" applyFill="1" applyBorder="1" applyAlignment="1">
      <alignment vertical="top"/>
    </xf>
    <xf numFmtId="188" fontId="27" fillId="6" borderId="53" xfId="1" applyNumberFormat="1" applyFont="1" applyFill="1" applyBorder="1" applyAlignment="1">
      <alignment vertical="top"/>
    </xf>
    <xf numFmtId="188" fontId="27" fillId="6" borderId="0" xfId="1" applyNumberFormat="1" applyFont="1" applyFill="1" applyBorder="1" applyAlignment="1">
      <alignment vertical="top" wrapText="1"/>
    </xf>
    <xf numFmtId="188" fontId="125" fillId="6" borderId="1" xfId="4" applyNumberFormat="1" applyFont="1" applyFill="1" applyBorder="1" applyAlignment="1">
      <alignment horizontal="center" vertical="top"/>
    </xf>
    <xf numFmtId="188" fontId="36" fillId="6" borderId="1" xfId="4" applyNumberFormat="1" applyFont="1" applyFill="1" applyBorder="1" applyAlignment="1">
      <alignment horizontal="center" vertical="top"/>
    </xf>
    <xf numFmtId="188" fontId="27" fillId="6" borderId="6" xfId="1" applyNumberFormat="1" applyFont="1" applyFill="1" applyBorder="1" applyAlignment="1">
      <alignment horizontal="left" vertical="top" wrapText="1"/>
    </xf>
    <xf numFmtId="0" fontId="28" fillId="6" borderId="1" xfId="0" applyFont="1" applyFill="1" applyBorder="1" applyAlignment="1">
      <alignment horizontal="center"/>
    </xf>
    <xf numFmtId="188" fontId="28" fillId="2" borderId="13" xfId="1" applyNumberFormat="1" applyFont="1" applyFill="1" applyBorder="1" applyAlignment="1">
      <alignment horizontal="left" vertical="top" wrapText="1"/>
    </xf>
    <xf numFmtId="188" fontId="28" fillId="2" borderId="5" xfId="1" applyNumberFormat="1" applyFont="1" applyFill="1" applyBorder="1" applyAlignment="1">
      <alignment horizontal="left" vertical="top" wrapText="1"/>
    </xf>
    <xf numFmtId="188" fontId="28" fillId="2" borderId="5" xfId="1" applyNumberFormat="1" applyFont="1" applyFill="1" applyBorder="1" applyAlignment="1">
      <alignment horizontal="center" vertical="top" wrapText="1"/>
    </xf>
    <xf numFmtId="49" fontId="28" fillId="2" borderId="5" xfId="1" applyNumberFormat="1" applyFont="1" applyFill="1" applyBorder="1" applyAlignment="1">
      <alignment horizontal="left" vertical="top" wrapText="1"/>
    </xf>
    <xf numFmtId="188" fontId="27" fillId="2" borderId="13" xfId="1" applyNumberFormat="1" applyFont="1" applyFill="1" applyBorder="1" applyAlignment="1">
      <alignment horizontal="left" vertical="top" wrapText="1"/>
    </xf>
    <xf numFmtId="188" fontId="27" fillId="2" borderId="5" xfId="1" applyNumberFormat="1" applyFont="1" applyFill="1" applyBorder="1" applyAlignment="1">
      <alignment horizontal="left" vertical="top" wrapText="1"/>
    </xf>
    <xf numFmtId="49" fontId="27" fillId="2" borderId="5" xfId="1" applyNumberFormat="1" applyFont="1" applyFill="1" applyBorder="1" applyAlignment="1">
      <alignment horizontal="left" vertical="top" wrapText="1"/>
    </xf>
    <xf numFmtId="188" fontId="27" fillId="2" borderId="5" xfId="1" applyNumberFormat="1" applyFont="1" applyFill="1" applyBorder="1" applyAlignment="1">
      <alignment vertical="top" wrapText="1"/>
    </xf>
    <xf numFmtId="188" fontId="27" fillId="2" borderId="13" xfId="1" applyNumberFormat="1" applyFont="1" applyFill="1" applyBorder="1" applyAlignment="1">
      <alignment vertical="top" wrapText="1"/>
    </xf>
    <xf numFmtId="188" fontId="27" fillId="6" borderId="5" xfId="1" applyNumberFormat="1" applyFont="1" applyFill="1" applyBorder="1" applyAlignment="1">
      <alignment horizontal="left" vertical="top" wrapText="1"/>
    </xf>
    <xf numFmtId="188" fontId="27" fillId="6" borderId="5" xfId="1" applyNumberFormat="1" applyFont="1" applyFill="1" applyBorder="1" applyAlignment="1">
      <alignment horizontal="center" vertical="top" wrapText="1"/>
    </xf>
    <xf numFmtId="188" fontId="28" fillId="2" borderId="37" xfId="1" applyNumberFormat="1" applyFont="1" applyFill="1" applyBorder="1" applyAlignment="1">
      <alignment horizontal="left" vertical="top" wrapText="1"/>
    </xf>
    <xf numFmtId="188" fontId="27" fillId="2" borderId="37" xfId="1" applyNumberFormat="1" applyFont="1" applyFill="1" applyBorder="1" applyAlignment="1">
      <alignment horizontal="left" vertical="top" wrapText="1"/>
    </xf>
    <xf numFmtId="188" fontId="28" fillId="2" borderId="37" xfId="1" applyNumberFormat="1" applyFont="1" applyFill="1" applyBorder="1" applyAlignment="1">
      <alignment vertical="top" wrapText="1"/>
    </xf>
    <xf numFmtId="188" fontId="27" fillId="2" borderId="37" xfId="1" applyNumberFormat="1" applyFont="1" applyFill="1" applyBorder="1" applyAlignment="1">
      <alignment horizontal="center" vertical="center" wrapText="1"/>
    </xf>
    <xf numFmtId="188" fontId="27" fillId="2" borderId="37" xfId="1" applyNumberFormat="1" applyFont="1" applyFill="1" applyBorder="1" applyAlignment="1">
      <alignment horizontal="center" vertical="top" wrapText="1"/>
    </xf>
    <xf numFmtId="49" fontId="27" fillId="0" borderId="37" xfId="1" applyNumberFormat="1" applyFont="1" applyBorder="1" applyAlignment="1">
      <alignment horizontal="left" vertical="top" wrapText="1"/>
    </xf>
    <xf numFmtId="188" fontId="28" fillId="0" borderId="37" xfId="1" applyNumberFormat="1" applyFont="1" applyBorder="1" applyAlignment="1">
      <alignment vertical="top"/>
    </xf>
    <xf numFmtId="188" fontId="28" fillId="2" borderId="46" xfId="1" applyNumberFormat="1" applyFont="1" applyFill="1" applyBorder="1" applyAlignment="1">
      <alignment horizontal="left" vertical="top" wrapText="1"/>
    </xf>
    <xf numFmtId="188" fontId="27" fillId="2" borderId="46" xfId="1" applyNumberFormat="1" applyFont="1" applyFill="1" applyBorder="1" applyAlignment="1">
      <alignment horizontal="left" vertical="top" wrapText="1"/>
    </xf>
    <xf numFmtId="188" fontId="28" fillId="2" borderId="46" xfId="1" applyNumberFormat="1" applyFont="1" applyFill="1" applyBorder="1" applyAlignment="1">
      <alignment vertical="top" wrapText="1"/>
    </xf>
    <xf numFmtId="188" fontId="28" fillId="2" borderId="46" xfId="1" applyNumberFormat="1" applyFont="1" applyFill="1" applyBorder="1" applyAlignment="1">
      <alignment vertical="top"/>
    </xf>
    <xf numFmtId="188" fontId="27" fillId="2" borderId="46" xfId="1" applyNumberFormat="1" applyFont="1" applyFill="1" applyBorder="1" applyAlignment="1">
      <alignment horizontal="center" vertical="top" wrapText="1"/>
    </xf>
    <xf numFmtId="49" fontId="27" fillId="2" borderId="46" xfId="1" applyNumberFormat="1" applyFont="1" applyFill="1" applyBorder="1" applyAlignment="1">
      <alignment horizontal="left" vertical="top" wrapText="1"/>
    </xf>
    <xf numFmtId="188" fontId="28" fillId="2" borderId="46" xfId="1" applyNumberFormat="1" applyFont="1" applyFill="1" applyBorder="1" applyAlignment="1">
      <alignment horizontal="right" vertical="top"/>
    </xf>
    <xf numFmtId="188" fontId="28" fillId="2" borderId="57" xfId="1" applyNumberFormat="1" applyFont="1" applyFill="1" applyBorder="1" applyAlignment="1">
      <alignment vertical="top" wrapText="1"/>
    </xf>
    <xf numFmtId="188" fontId="27" fillId="2" borderId="57" xfId="1" applyNumberFormat="1" applyFont="1" applyFill="1" applyBorder="1" applyAlignment="1">
      <alignment horizontal="center" vertical="top" wrapText="1"/>
    </xf>
    <xf numFmtId="188" fontId="28" fillId="2" borderId="57" xfId="1" applyNumberFormat="1" applyFont="1" applyFill="1" applyBorder="1" applyAlignment="1">
      <alignment horizontal="center" vertical="top" wrapText="1"/>
    </xf>
    <xf numFmtId="49" fontId="27" fillId="2" borderId="57" xfId="1" applyNumberFormat="1" applyFont="1" applyFill="1" applyBorder="1" applyAlignment="1">
      <alignment horizontal="left" vertical="top" wrapText="1"/>
    </xf>
    <xf numFmtId="188" fontId="28" fillId="2" borderId="57" xfId="1" applyNumberFormat="1" applyFont="1" applyFill="1" applyBorder="1" applyAlignment="1">
      <alignment vertical="top"/>
    </xf>
    <xf numFmtId="188" fontId="28" fillId="6" borderId="58" xfId="1" applyNumberFormat="1" applyFont="1" applyFill="1" applyBorder="1" applyAlignment="1"/>
    <xf numFmtId="0" fontId="28" fillId="6" borderId="34" xfId="0" applyFont="1" applyFill="1" applyBorder="1"/>
    <xf numFmtId="188" fontId="28" fillId="6" borderId="6" xfId="1" applyNumberFormat="1" applyFont="1" applyFill="1" applyBorder="1" applyAlignment="1">
      <alignment horizontal="center" vertical="top"/>
    </xf>
    <xf numFmtId="188" fontId="27" fillId="6" borderId="6" xfId="1" applyNumberFormat="1" applyFont="1" applyFill="1" applyBorder="1" applyAlignment="1">
      <alignment horizontal="center" vertical="top" wrapText="1"/>
    </xf>
    <xf numFmtId="0" fontId="28" fillId="6" borderId="6" xfId="0" applyFont="1" applyFill="1" applyBorder="1" applyAlignment="1">
      <alignment horizontal="center"/>
    </xf>
    <xf numFmtId="188" fontId="28" fillId="0" borderId="5" xfId="1" applyNumberFormat="1" applyFont="1" applyBorder="1"/>
    <xf numFmtId="0" fontId="28" fillId="6" borderId="5" xfId="0" applyFont="1" applyFill="1" applyBorder="1" applyAlignment="1">
      <alignment vertical="center"/>
    </xf>
    <xf numFmtId="0" fontId="28" fillId="6" borderId="5" xfId="0" applyFont="1" applyFill="1" applyBorder="1" applyAlignment="1">
      <alignment horizontal="left" vertical="center"/>
    </xf>
    <xf numFmtId="0" fontId="28" fillId="6" borderId="1" xfId="0" applyFont="1" applyFill="1" applyBorder="1" applyAlignment="1">
      <alignment horizontal="center" vertical="center"/>
    </xf>
    <xf numFmtId="190" fontId="27" fillId="6" borderId="5" xfId="1" applyNumberFormat="1" applyFont="1" applyFill="1" applyBorder="1" applyAlignment="1">
      <alignment horizontal="center" vertical="center" wrapText="1"/>
    </xf>
    <xf numFmtId="188" fontId="27" fillId="6" borderId="5" xfId="1" applyNumberFormat="1" applyFont="1" applyFill="1" applyBorder="1" applyAlignment="1">
      <alignment horizontal="center" vertical="center" wrapText="1"/>
    </xf>
    <xf numFmtId="188" fontId="27" fillId="6" borderId="5" xfId="1" applyNumberFormat="1" applyFont="1" applyFill="1" applyBorder="1" applyAlignment="1">
      <alignment horizontal="center" vertical="center" textRotation="90" wrapText="1"/>
    </xf>
    <xf numFmtId="0" fontId="27" fillId="6" borderId="5" xfId="0" applyFont="1" applyFill="1" applyBorder="1" applyAlignment="1">
      <alignment horizontal="center" vertical="center" wrapText="1"/>
    </xf>
    <xf numFmtId="0" fontId="27" fillId="2" borderId="5" xfId="0" applyFont="1" applyFill="1" applyBorder="1" applyAlignment="1">
      <alignment horizontal="left" vertical="top" wrapText="1"/>
    </xf>
    <xf numFmtId="0" fontId="27" fillId="2" borderId="5" xfId="0" applyFont="1" applyFill="1" applyBorder="1" applyAlignment="1">
      <alignment vertical="top" wrapText="1"/>
    </xf>
    <xf numFmtId="0" fontId="28" fillId="2" borderId="1" xfId="0" applyFont="1" applyFill="1" applyBorder="1" applyAlignment="1">
      <alignment horizontal="center" vertical="center"/>
    </xf>
    <xf numFmtId="188" fontId="27" fillId="2" borderId="5" xfId="1" applyNumberFormat="1" applyFont="1" applyFill="1" applyBorder="1" applyAlignment="1">
      <alignment horizontal="right" vertical="top" wrapText="1"/>
    </xf>
    <xf numFmtId="188" fontId="27" fillId="2" borderId="5" xfId="1" applyNumberFormat="1" applyFont="1" applyFill="1" applyBorder="1" applyAlignment="1">
      <alignment horizontal="center" vertical="center" wrapText="1"/>
    </xf>
    <xf numFmtId="188" fontId="27" fillId="2" borderId="5" xfId="1" applyNumberFormat="1" applyFont="1" applyFill="1" applyBorder="1" applyAlignment="1">
      <alignment horizontal="center" vertical="center" textRotation="90" wrapText="1"/>
    </xf>
    <xf numFmtId="0" fontId="27" fillId="2" borderId="5" xfId="0" applyFont="1" applyFill="1" applyBorder="1" applyAlignment="1">
      <alignment horizontal="center" vertical="center" wrapText="1"/>
    </xf>
    <xf numFmtId="0" fontId="28" fillId="0" borderId="5" xfId="0" applyFont="1" applyBorder="1" applyAlignment="1">
      <alignment horizontal="center" vertical="center"/>
    </xf>
    <xf numFmtId="0" fontId="28" fillId="0" borderId="1" xfId="0" applyFont="1" applyBorder="1" applyAlignment="1">
      <alignment vertical="top" wrapText="1"/>
    </xf>
    <xf numFmtId="188" fontId="27" fillId="0" borderId="1" xfId="1" applyNumberFormat="1" applyFont="1" applyFill="1" applyBorder="1" applyAlignment="1">
      <alignment horizontal="right" vertical="top" wrapText="1"/>
    </xf>
    <xf numFmtId="188" fontId="27" fillId="0" borderId="1" xfId="1" applyNumberFormat="1" applyFont="1" applyFill="1" applyBorder="1" applyAlignment="1">
      <alignment vertical="center" wrapText="1"/>
    </xf>
    <xf numFmtId="0" fontId="28" fillId="0" borderId="5" xfId="0" applyFont="1" applyBorder="1" applyAlignment="1">
      <alignment horizontal="center" vertical="top"/>
    </xf>
    <xf numFmtId="0" fontId="28" fillId="0" borderId="10" xfId="0" applyFont="1" applyBorder="1" applyAlignment="1">
      <alignment vertical="top" wrapText="1"/>
    </xf>
    <xf numFmtId="188" fontId="27" fillId="0" borderId="10" xfId="1" applyNumberFormat="1" applyFont="1" applyFill="1" applyBorder="1" applyAlignment="1">
      <alignment horizontal="right" vertical="top" wrapText="1"/>
    </xf>
    <xf numFmtId="188" fontId="27" fillId="0" borderId="10" xfId="1" applyNumberFormat="1" applyFont="1" applyFill="1" applyBorder="1" applyAlignment="1">
      <alignment vertical="center" wrapText="1"/>
    </xf>
    <xf numFmtId="0" fontId="27" fillId="2" borderId="1" xfId="0" applyFont="1" applyFill="1" applyBorder="1" applyAlignment="1">
      <alignment vertical="top" wrapText="1"/>
    </xf>
    <xf numFmtId="0" fontId="27" fillId="2" borderId="1" xfId="0" applyFont="1" applyFill="1" applyBorder="1" applyAlignment="1">
      <alignment horizontal="left" vertical="top" wrapText="1"/>
    </xf>
    <xf numFmtId="0" fontId="28" fillId="2" borderId="5" xfId="0" applyFont="1" applyFill="1" applyBorder="1" applyAlignment="1">
      <alignment vertical="top"/>
    </xf>
    <xf numFmtId="3" fontId="28" fillId="2" borderId="5" xfId="0" applyNumberFormat="1" applyFont="1" applyFill="1" applyBorder="1" applyAlignment="1">
      <alignment vertical="top"/>
    </xf>
    <xf numFmtId="0" fontId="27" fillId="2" borderId="1" xfId="0" applyFont="1" applyFill="1" applyBorder="1" applyAlignment="1">
      <alignment horizontal="center" vertical="top" wrapText="1"/>
    </xf>
    <xf numFmtId="43" fontId="28" fillId="6" borderId="0" xfId="1" applyFont="1" applyFill="1"/>
    <xf numFmtId="188" fontId="28" fillId="0" borderId="0" xfId="0" applyNumberFormat="1" applyFont="1"/>
    <xf numFmtId="0" fontId="34" fillId="0" borderId="0" xfId="0" applyFont="1"/>
    <xf numFmtId="0" fontId="34" fillId="0" borderId="0" xfId="0" applyFont="1" applyAlignment="1">
      <alignment horizontal="left"/>
    </xf>
    <xf numFmtId="0" fontId="126" fillId="0" borderId="0" xfId="0" applyFont="1"/>
    <xf numFmtId="0" fontId="127" fillId="0" borderId="0" xfId="0" applyFont="1"/>
    <xf numFmtId="0" fontId="128" fillId="0" borderId="0" xfId="0" applyFont="1" applyAlignment="1">
      <alignment horizontal="left" readingOrder="1"/>
    </xf>
    <xf numFmtId="187" fontId="34" fillId="0" borderId="0" xfId="0" applyNumberFormat="1" applyFont="1"/>
    <xf numFmtId="0" fontId="34" fillId="0" borderId="0" xfId="0" applyFont="1" applyAlignment="1">
      <alignment horizontal="center"/>
    </xf>
    <xf numFmtId="0" fontId="34" fillId="0" borderId="5" xfId="0" applyFont="1" applyBorder="1"/>
    <xf numFmtId="0" fontId="129" fillId="0" borderId="5" xfId="0" applyFont="1" applyBorder="1" applyAlignment="1">
      <alignment horizontal="center" vertical="center" wrapText="1"/>
    </xf>
    <xf numFmtId="0" fontId="38" fillId="0" borderId="5" xfId="0" applyFont="1" applyBorder="1" applyAlignment="1">
      <alignment horizontal="center" vertical="top" wrapText="1"/>
    </xf>
    <xf numFmtId="188" fontId="38" fillId="0" borderId="5" xfId="1" applyNumberFormat="1" applyFont="1" applyFill="1" applyBorder="1" applyAlignment="1">
      <alignment horizontal="center" vertical="top" wrapText="1"/>
    </xf>
    <xf numFmtId="0" fontId="38" fillId="0" borderId="10" xfId="0" applyFont="1" applyBorder="1" applyAlignment="1">
      <alignment horizontal="center" vertical="top" wrapText="1"/>
    </xf>
    <xf numFmtId="0" fontId="34" fillId="2" borderId="5" xfId="0" applyFont="1" applyFill="1" applyBorder="1" applyAlignment="1">
      <alignment vertical="top"/>
    </xf>
    <xf numFmtId="0" fontId="126" fillId="0" borderId="1" xfId="0" applyFont="1" applyBorder="1" applyAlignment="1">
      <alignment horizontal="center" vertical="center" wrapText="1"/>
    </xf>
    <xf numFmtId="0" fontId="38" fillId="2" borderId="1" xfId="0" applyFont="1" applyFill="1" applyBorder="1" applyAlignment="1">
      <alignment horizontal="left" vertical="top" wrapText="1"/>
    </xf>
    <xf numFmtId="0" fontId="34" fillId="2" borderId="1" xfId="0" applyFont="1" applyFill="1" applyBorder="1" applyAlignment="1">
      <alignment vertical="top" wrapText="1"/>
    </xf>
    <xf numFmtId="0" fontId="34" fillId="0" borderId="1" xfId="10" applyFont="1" applyBorder="1" applyAlignment="1">
      <alignment horizontal="center" vertical="top" wrapText="1"/>
    </xf>
    <xf numFmtId="3" fontId="34" fillId="2" borderId="1" xfId="0" applyNumberFormat="1" applyFont="1" applyFill="1" applyBorder="1" applyAlignment="1">
      <alignment vertical="top" wrapText="1"/>
    </xf>
    <xf numFmtId="188" fontId="129" fillId="2" borderId="1" xfId="1" applyNumberFormat="1" applyFont="1" applyFill="1" applyBorder="1" applyAlignment="1">
      <alignment horizontal="center" vertical="top" wrapText="1"/>
    </xf>
    <xf numFmtId="0" fontId="38" fillId="2" borderId="1" xfId="0" applyFont="1" applyFill="1" applyBorder="1" applyAlignment="1">
      <alignment horizontal="center" vertical="top" wrapText="1"/>
    </xf>
    <xf numFmtId="188" fontId="38" fillId="2" borderId="1" xfId="0" applyNumberFormat="1" applyFont="1" applyFill="1" applyBorder="1" applyAlignment="1">
      <alignment horizontal="center" vertical="top" wrapText="1"/>
    </xf>
    <xf numFmtId="188" fontId="38" fillId="2" borderId="1" xfId="1" applyNumberFormat="1" applyFont="1" applyFill="1" applyBorder="1" applyAlignment="1">
      <alignment horizontal="center" vertical="top" wrapText="1"/>
    </xf>
    <xf numFmtId="188" fontId="129" fillId="2" borderId="1" xfId="0" applyNumberFormat="1" applyFont="1" applyFill="1" applyBorder="1" applyAlignment="1">
      <alignment horizontal="center" vertical="top" wrapText="1"/>
    </xf>
    <xf numFmtId="0" fontId="129" fillId="2" borderId="1" xfId="0" applyFont="1" applyFill="1" applyBorder="1" applyAlignment="1">
      <alignment horizontal="center" vertical="top" wrapText="1"/>
    </xf>
    <xf numFmtId="0" fontId="34" fillId="2" borderId="1" xfId="0" applyFont="1" applyFill="1" applyBorder="1" applyAlignment="1">
      <alignment vertical="top"/>
    </xf>
    <xf numFmtId="0" fontId="126" fillId="0" borderId="6" xfId="0" applyFont="1" applyBorder="1" applyAlignment="1">
      <alignment horizontal="center" vertical="center" wrapText="1"/>
    </xf>
    <xf numFmtId="0" fontId="126" fillId="2" borderId="10" xfId="10" applyFont="1" applyFill="1" applyBorder="1" applyAlignment="1">
      <alignment vertical="top"/>
    </xf>
    <xf numFmtId="0" fontId="38" fillId="2" borderId="10" xfId="0" applyFont="1" applyFill="1" applyBorder="1" applyAlignment="1">
      <alignment horizontal="left" vertical="top" wrapText="1"/>
    </xf>
    <xf numFmtId="0" fontId="38" fillId="2" borderId="10" xfId="0" applyFont="1" applyFill="1" applyBorder="1" applyAlignment="1">
      <alignment horizontal="center" vertical="top" wrapText="1"/>
    </xf>
    <xf numFmtId="0" fontId="34" fillId="0" borderId="10" xfId="10" applyFont="1" applyBorder="1" applyAlignment="1">
      <alignment horizontal="center" vertical="top" wrapText="1"/>
    </xf>
    <xf numFmtId="3" fontId="34" fillId="2" borderId="10" xfId="0" applyNumberFormat="1" applyFont="1" applyFill="1" applyBorder="1" applyAlignment="1">
      <alignment horizontal="left" vertical="top" wrapText="1"/>
    </xf>
    <xf numFmtId="188" fontId="38" fillId="2" borderId="10" xfId="1" applyNumberFormat="1" applyFont="1" applyFill="1" applyBorder="1" applyAlignment="1">
      <alignment vertical="top" wrapText="1"/>
    </xf>
    <xf numFmtId="188" fontId="129" fillId="2" borderId="10" xfId="1" applyNumberFormat="1" applyFont="1" applyFill="1" applyBorder="1" applyAlignment="1">
      <alignment horizontal="center" vertical="top" wrapText="1"/>
    </xf>
    <xf numFmtId="188" fontId="38" fillId="2" borderId="10" xfId="0" applyNumberFormat="1" applyFont="1" applyFill="1" applyBorder="1" applyAlignment="1">
      <alignment horizontal="center" vertical="top" wrapText="1"/>
    </xf>
    <xf numFmtId="188" fontId="38" fillId="2" borderId="10" xfId="1" applyNumberFormat="1" applyFont="1" applyFill="1" applyBorder="1" applyAlignment="1">
      <alignment horizontal="center" vertical="top" wrapText="1"/>
    </xf>
    <xf numFmtId="0" fontId="129" fillId="2" borderId="10" xfId="0" applyFont="1" applyFill="1" applyBorder="1" applyAlignment="1">
      <alignment horizontal="center" vertical="top" wrapText="1"/>
    </xf>
    <xf numFmtId="0" fontId="34" fillId="2" borderId="10" xfId="0" applyFont="1" applyFill="1" applyBorder="1" applyAlignment="1">
      <alignment vertical="top"/>
    </xf>
    <xf numFmtId="0" fontId="34" fillId="0" borderId="5" xfId="0" applyFont="1" applyBorder="1" applyAlignment="1">
      <alignment horizontal="center" vertical="center" wrapText="1"/>
    </xf>
    <xf numFmtId="0" fontId="34" fillId="0" borderId="5" xfId="0" applyFont="1" applyBorder="1" applyAlignment="1">
      <alignment horizontal="center" vertical="center"/>
    </xf>
    <xf numFmtId="0" fontId="34" fillId="2" borderId="1" xfId="0" applyFont="1" applyFill="1" applyBorder="1" applyAlignment="1">
      <alignment horizontal="left" vertical="top" wrapText="1"/>
    </xf>
    <xf numFmtId="0" fontId="38" fillId="2" borderId="5" xfId="0" applyFont="1" applyFill="1" applyBorder="1" applyAlignment="1">
      <alignment horizontal="center" vertical="center" wrapText="1"/>
    </xf>
    <xf numFmtId="0" fontId="38" fillId="2" borderId="5" xfId="0" applyFont="1" applyFill="1" applyBorder="1" applyAlignment="1">
      <alignment horizontal="left" vertical="top" wrapText="1"/>
    </xf>
    <xf numFmtId="3" fontId="34" fillId="2" borderId="5" xfId="0" applyNumberFormat="1" applyFont="1" applyFill="1" applyBorder="1" applyAlignment="1">
      <alignment horizontal="center" vertical="top" wrapText="1"/>
    </xf>
    <xf numFmtId="188" fontId="129" fillId="2" borderId="5" xfId="1" applyNumberFormat="1" applyFont="1" applyFill="1" applyBorder="1" applyAlignment="1">
      <alignment horizontal="center" vertical="top" wrapText="1"/>
    </xf>
    <xf numFmtId="0" fontId="38" fillId="2" borderId="5" xfId="0" applyFont="1" applyFill="1" applyBorder="1" applyAlignment="1">
      <alignment horizontal="center" vertical="top" wrapText="1"/>
    </xf>
    <xf numFmtId="188" fontId="38" fillId="2" borderId="5" xfId="0" applyNumberFormat="1" applyFont="1" applyFill="1" applyBorder="1" applyAlignment="1">
      <alignment horizontal="center" vertical="top" wrapText="1"/>
    </xf>
    <xf numFmtId="188" fontId="38" fillId="2" borderId="5" xfId="1" applyNumberFormat="1" applyFont="1" applyFill="1" applyBorder="1" applyAlignment="1">
      <alignment horizontal="center" vertical="top" wrapText="1"/>
    </xf>
    <xf numFmtId="0" fontId="129" fillId="2" borderId="5" xfId="0" applyFont="1" applyFill="1" applyBorder="1" applyAlignment="1">
      <alignment horizontal="center" vertical="top" wrapText="1"/>
    </xf>
    <xf numFmtId="3" fontId="34" fillId="2" borderId="5" xfId="0" applyNumberFormat="1" applyFont="1" applyFill="1" applyBorder="1" applyAlignment="1">
      <alignment vertical="top" wrapText="1"/>
    </xf>
    <xf numFmtId="188" fontId="129" fillId="2" borderId="5" xfId="1" applyNumberFormat="1" applyFont="1" applyFill="1" applyBorder="1" applyAlignment="1">
      <alignment horizontal="center" vertical="center" wrapText="1"/>
    </xf>
    <xf numFmtId="3" fontId="126" fillId="2" borderId="5" xfId="0" applyNumberFormat="1" applyFont="1" applyFill="1" applyBorder="1" applyAlignment="1">
      <alignment vertical="top" wrapText="1"/>
    </xf>
    <xf numFmtId="188" fontId="126" fillId="2" borderId="5" xfId="1" applyNumberFormat="1" applyFont="1" applyFill="1" applyBorder="1" applyAlignment="1">
      <alignment vertical="top" wrapText="1"/>
    </xf>
    <xf numFmtId="0" fontId="126" fillId="0" borderId="10" xfId="0" applyFont="1" applyBorder="1" applyAlignment="1">
      <alignment horizontal="center" vertical="center" wrapText="1"/>
    </xf>
    <xf numFmtId="0" fontId="34" fillId="2" borderId="5" xfId="10" applyFont="1" applyFill="1" applyBorder="1" applyAlignment="1">
      <alignment horizontal="left" vertical="top" wrapText="1"/>
    </xf>
    <xf numFmtId="0" fontId="34" fillId="0" borderId="5" xfId="10" applyFont="1" applyBorder="1" applyAlignment="1">
      <alignment horizontal="center" vertical="top" wrapText="1"/>
    </xf>
    <xf numFmtId="188" fontId="38" fillId="2" borderId="5" xfId="1" applyNumberFormat="1" applyFont="1" applyFill="1" applyBorder="1" applyAlignment="1">
      <alignment vertical="top" wrapText="1"/>
    </xf>
    <xf numFmtId="188" fontId="34" fillId="2" borderId="5" xfId="1" applyNumberFormat="1" applyFont="1" applyFill="1" applyBorder="1" applyAlignment="1">
      <alignment vertical="top"/>
    </xf>
    <xf numFmtId="0" fontId="34" fillId="9" borderId="5" xfId="0" applyFont="1" applyFill="1" applyBorder="1" applyAlignment="1">
      <alignment horizontal="center" vertical="center"/>
    </xf>
    <xf numFmtId="0" fontId="126" fillId="0" borderId="1" xfId="0" applyFont="1" applyBorder="1" applyAlignment="1">
      <alignment horizontal="center" vertical="center"/>
    </xf>
    <xf numFmtId="0" fontId="34" fillId="0" borderId="0" xfId="0" applyFont="1" applyAlignment="1">
      <alignment vertical="top" wrapText="1"/>
    </xf>
    <xf numFmtId="0" fontId="34" fillId="0" borderId="5" xfId="0" applyFont="1" applyBorder="1" applyAlignment="1">
      <alignment vertical="top" wrapText="1"/>
    </xf>
    <xf numFmtId="0" fontId="130" fillId="2" borderId="5" xfId="0" applyFont="1" applyFill="1" applyBorder="1" applyAlignment="1">
      <alignment horizontal="left" vertical="top" wrapText="1"/>
    </xf>
    <xf numFmtId="0" fontId="126" fillId="0" borderId="6" xfId="0" applyFont="1" applyBorder="1" applyAlignment="1">
      <alignment horizontal="center" vertical="center"/>
    </xf>
    <xf numFmtId="0" fontId="38" fillId="2" borderId="13" xfId="0" applyFont="1" applyFill="1" applyBorder="1" applyAlignment="1">
      <alignment horizontal="left" vertical="top" wrapText="1"/>
    </xf>
    <xf numFmtId="0" fontId="38" fillId="2" borderId="5" xfId="9" applyFont="1" applyFill="1" applyBorder="1" applyAlignment="1">
      <alignment horizontal="left" vertical="top" wrapText="1"/>
    </xf>
    <xf numFmtId="0" fontId="130" fillId="0" borderId="5" xfId="0" applyFont="1" applyBorder="1" applyAlignment="1">
      <alignment horizontal="left" vertical="top" wrapText="1"/>
    </xf>
    <xf numFmtId="0" fontId="126" fillId="0" borderId="10" xfId="0" applyFont="1" applyBorder="1" applyAlignment="1">
      <alignment horizontal="center" vertical="center"/>
    </xf>
    <xf numFmtId="0" fontId="34" fillId="2" borderId="13" xfId="0" applyFont="1" applyFill="1" applyBorder="1" applyAlignment="1">
      <alignment vertical="top" wrapText="1"/>
    </xf>
    <xf numFmtId="0" fontId="34" fillId="2" borderId="5" xfId="0" applyFont="1" applyFill="1" applyBorder="1" applyAlignment="1">
      <alignment vertical="top" wrapText="1"/>
    </xf>
    <xf numFmtId="3" fontId="34" fillId="2" borderId="5" xfId="0" applyNumberFormat="1" applyFont="1" applyFill="1" applyBorder="1" applyAlignment="1">
      <alignment vertical="top"/>
    </xf>
    <xf numFmtId="188" fontId="34" fillId="2" borderId="5" xfId="1" applyNumberFormat="1" applyFont="1" applyFill="1" applyBorder="1" applyAlignment="1">
      <alignment vertical="top" wrapText="1"/>
    </xf>
    <xf numFmtId="0" fontId="34" fillId="2" borderId="12" xfId="0" applyFont="1" applyFill="1" applyBorder="1" applyAlignment="1">
      <alignment vertical="top" wrapText="1"/>
    </xf>
    <xf numFmtId="0" fontId="34" fillId="0" borderId="13" xfId="0" applyFont="1" applyBorder="1" applyAlignment="1">
      <alignment vertical="top" wrapText="1"/>
    </xf>
    <xf numFmtId="3" fontId="34" fillId="0" borderId="5" xfId="0" applyNumberFormat="1" applyFont="1" applyBorder="1" applyAlignment="1">
      <alignment vertical="top"/>
    </xf>
    <xf numFmtId="0" fontId="38" fillId="0" borderId="5" xfId="0" applyFont="1" applyBorder="1" applyAlignment="1">
      <alignment horizontal="left" vertical="top" wrapText="1"/>
    </xf>
    <xf numFmtId="0" fontId="38" fillId="2" borderId="5" xfId="0" applyFont="1" applyFill="1" applyBorder="1" applyAlignment="1">
      <alignment vertical="top" wrapText="1"/>
    </xf>
    <xf numFmtId="0" fontId="38" fillId="2" borderId="12" xfId="0" applyFont="1" applyFill="1" applyBorder="1" applyAlignment="1">
      <alignment horizontal="left" vertical="top" wrapText="1"/>
    </xf>
    <xf numFmtId="0" fontId="38" fillId="2" borderId="13" xfId="0" applyFont="1" applyFill="1" applyBorder="1" applyAlignment="1">
      <alignment vertical="top" wrapText="1"/>
    </xf>
    <xf numFmtId="0" fontId="34" fillId="0" borderId="0" xfId="0" applyFont="1" applyAlignment="1">
      <alignment horizontal="left" vertical="top" wrapText="1"/>
    </xf>
    <xf numFmtId="0" fontId="34" fillId="0" borderId="5" xfId="0" applyFont="1" applyBorder="1" applyAlignment="1">
      <alignment horizontal="left" vertical="top" wrapText="1"/>
    </xf>
    <xf numFmtId="0" fontId="34" fillId="0" borderId="13" xfId="0" applyFont="1" applyBorder="1" applyAlignment="1">
      <alignment horizontal="left" vertical="top" wrapText="1"/>
    </xf>
    <xf numFmtId="188" fontId="130" fillId="0" borderId="5" xfId="1" applyNumberFormat="1" applyFont="1" applyFill="1" applyBorder="1" applyAlignment="1">
      <alignment horizontal="center" vertical="top" wrapText="1"/>
    </xf>
    <xf numFmtId="0" fontId="34" fillId="2" borderId="13" xfId="0" applyFont="1" applyFill="1" applyBorder="1" applyAlignment="1">
      <alignment horizontal="left" vertical="top" wrapText="1"/>
    </xf>
    <xf numFmtId="0" fontId="34" fillId="2" borderId="5" xfId="0" applyFont="1" applyFill="1" applyBorder="1" applyAlignment="1">
      <alignment horizontal="left" vertical="top" wrapText="1"/>
    </xf>
    <xf numFmtId="0" fontId="34" fillId="2" borderId="5" xfId="0" applyFont="1" applyFill="1" applyBorder="1" applyAlignment="1">
      <alignment horizontal="center" vertical="top"/>
    </xf>
    <xf numFmtId="0" fontId="34" fillId="2" borderId="1" xfId="0" applyFont="1" applyFill="1" applyBorder="1" applyAlignment="1">
      <alignment horizontal="center" vertical="top"/>
    </xf>
    <xf numFmtId="0" fontId="126" fillId="2" borderId="1" xfId="0" applyFont="1" applyFill="1" applyBorder="1" applyAlignment="1">
      <alignment horizontal="center" vertical="center" wrapText="1"/>
    </xf>
    <xf numFmtId="0" fontId="34" fillId="2" borderId="5" xfId="16" applyFont="1" applyFill="1" applyBorder="1" applyAlignment="1">
      <alignment vertical="top" wrapText="1"/>
    </xf>
    <xf numFmtId="0" fontId="34" fillId="2" borderId="5" xfId="0" applyFont="1" applyFill="1" applyBorder="1" applyAlignment="1">
      <alignment horizontal="center" vertical="center" wrapText="1"/>
    </xf>
    <xf numFmtId="0" fontId="34" fillId="0" borderId="5" xfId="0" applyFont="1" applyBorder="1" applyAlignment="1" applyProtection="1">
      <alignment horizontal="left" vertical="top" wrapText="1"/>
      <protection locked="0"/>
    </xf>
    <xf numFmtId="188" fontId="34" fillId="0" borderId="5" xfId="1" applyNumberFormat="1" applyFont="1" applyFill="1" applyBorder="1" applyAlignment="1">
      <alignment horizontal="center" vertical="top" wrapText="1"/>
    </xf>
    <xf numFmtId="0" fontId="34" fillId="0" borderId="5" xfId="0" applyFont="1" applyBorder="1" applyAlignment="1">
      <alignment horizontal="center" vertical="top" wrapText="1"/>
    </xf>
    <xf numFmtId="188" fontId="34" fillId="0" borderId="5" xfId="0" applyNumberFormat="1" applyFont="1" applyBorder="1" applyAlignment="1">
      <alignment horizontal="center" vertical="top" wrapText="1"/>
    </xf>
    <xf numFmtId="0" fontId="126" fillId="0" borderId="5" xfId="0" applyFont="1" applyBorder="1" applyAlignment="1">
      <alignment horizontal="center" vertical="top" wrapText="1"/>
    </xf>
    <xf numFmtId="0" fontId="126" fillId="0" borderId="5" xfId="0" applyFont="1" applyBorder="1" applyAlignment="1">
      <alignment horizontal="center" vertical="top"/>
    </xf>
    <xf numFmtId="0" fontId="126" fillId="2" borderId="10" xfId="0" applyFont="1" applyFill="1" applyBorder="1" applyAlignment="1">
      <alignment horizontal="center" vertical="center" wrapText="1"/>
    </xf>
    <xf numFmtId="0" fontId="34" fillId="2" borderId="5" xfId="0" applyFont="1" applyFill="1" applyBorder="1" applyAlignment="1" applyProtection="1">
      <alignment horizontal="left" vertical="top" wrapText="1"/>
      <protection locked="0"/>
    </xf>
    <xf numFmtId="0" fontId="34" fillId="2" borderId="5" xfId="0" applyFont="1" applyFill="1" applyBorder="1" applyAlignment="1">
      <alignment horizontal="center" vertical="top" wrapText="1"/>
    </xf>
    <xf numFmtId="188" fontId="126" fillId="2" borderId="5" xfId="1" applyNumberFormat="1" applyFont="1" applyFill="1" applyBorder="1" applyAlignment="1">
      <alignment horizontal="center" vertical="top" wrapText="1"/>
    </xf>
    <xf numFmtId="0" fontId="34" fillId="2" borderId="11" xfId="16" applyFont="1" applyFill="1" applyBorder="1" applyAlignment="1">
      <alignment vertical="top" wrapText="1"/>
    </xf>
    <xf numFmtId="0" fontId="34" fillId="2" borderId="12" xfId="0" applyFont="1" applyFill="1" applyBorder="1" applyAlignment="1">
      <alignment horizontal="left" vertical="top" wrapText="1"/>
    </xf>
    <xf numFmtId="0" fontId="34" fillId="2" borderId="12" xfId="0" applyFont="1" applyFill="1" applyBorder="1" applyAlignment="1" applyProtection="1">
      <alignment horizontal="left" vertical="top" wrapText="1"/>
      <protection locked="0"/>
    </xf>
    <xf numFmtId="0" fontId="34" fillId="2" borderId="12" xfId="0" applyFont="1" applyFill="1" applyBorder="1" applyAlignment="1">
      <alignment horizontal="center" vertical="top" wrapText="1"/>
    </xf>
    <xf numFmtId="0" fontId="34" fillId="2" borderId="13" xfId="0" applyFont="1" applyFill="1" applyBorder="1" applyAlignment="1">
      <alignment horizontal="center" vertical="top" wrapText="1"/>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0" fontId="126" fillId="0" borderId="5" xfId="0" applyFont="1" applyBorder="1" applyAlignment="1">
      <alignment horizontal="center" vertical="center" wrapText="1"/>
    </xf>
    <xf numFmtId="0" fontId="34" fillId="0" borderId="5" xfId="16" applyFont="1" applyBorder="1" applyAlignment="1">
      <alignment horizontal="left" vertical="top" wrapText="1"/>
    </xf>
    <xf numFmtId="0" fontId="34" fillId="0" borderId="5" xfId="16" applyFont="1" applyBorder="1" applyAlignment="1">
      <alignment vertical="top" wrapText="1"/>
    </xf>
    <xf numFmtId="188" fontId="126" fillId="0" borderId="5" xfId="1" applyNumberFormat="1" applyFont="1" applyFill="1" applyBorder="1" applyAlignment="1">
      <alignment horizontal="center" vertical="top" wrapText="1"/>
    </xf>
    <xf numFmtId="0" fontId="126" fillId="0" borderId="1" xfId="0" applyFont="1" applyBorder="1" applyAlignment="1">
      <alignment vertical="center" wrapText="1"/>
    </xf>
    <xf numFmtId="0" fontId="34" fillId="2" borderId="5" xfId="0" applyFont="1" applyFill="1" applyBorder="1" applyAlignment="1">
      <alignment vertical="center" wrapText="1"/>
    </xf>
    <xf numFmtId="188" fontId="34" fillId="0" borderId="5" xfId="1" applyNumberFormat="1" applyFont="1" applyBorder="1" applyAlignment="1">
      <alignment vertical="top" wrapText="1"/>
    </xf>
    <xf numFmtId="188" fontId="34" fillId="2" borderId="5" xfId="1" applyNumberFormat="1" applyFont="1" applyFill="1" applyBorder="1" applyAlignment="1">
      <alignment horizontal="center" vertical="top" wrapText="1"/>
    </xf>
    <xf numFmtId="188" fontId="34" fillId="0" borderId="5" xfId="1" applyNumberFormat="1" applyFont="1" applyFill="1" applyBorder="1" applyAlignment="1">
      <alignment vertical="top"/>
    </xf>
    <xf numFmtId="0" fontId="126" fillId="0" borderId="6" xfId="0" applyFont="1" applyBorder="1" applyAlignment="1">
      <alignment vertical="center" wrapText="1"/>
    </xf>
    <xf numFmtId="0" fontId="34" fillId="0" borderId="5" xfId="0" applyFont="1" applyBorder="1" applyAlignment="1">
      <alignment vertical="center" wrapText="1"/>
    </xf>
    <xf numFmtId="188" fontId="34" fillId="0" borderId="5" xfId="1" applyNumberFormat="1" applyFont="1" applyFill="1" applyBorder="1" applyAlignment="1">
      <alignment vertical="top" wrapText="1"/>
    </xf>
    <xf numFmtId="188" fontId="34" fillId="2" borderId="5" xfId="1" applyNumberFormat="1" applyFont="1" applyFill="1" applyBorder="1" applyAlignment="1">
      <alignment horizontal="center" vertical="center" wrapText="1"/>
    </xf>
    <xf numFmtId="188" fontId="126" fillId="2" borderId="5" xfId="1" applyNumberFormat="1" applyFont="1" applyFill="1" applyBorder="1" applyAlignment="1">
      <alignment horizontal="center" vertical="center" wrapText="1"/>
    </xf>
    <xf numFmtId="0" fontId="126" fillId="2" borderId="5" xfId="0" applyFont="1" applyFill="1" applyBorder="1" applyAlignment="1">
      <alignment horizontal="center" vertical="top"/>
    </xf>
    <xf numFmtId="188" fontId="126" fillId="0" borderId="5" xfId="1" applyNumberFormat="1" applyFont="1" applyFill="1" applyBorder="1" applyAlignment="1">
      <alignment vertical="top" wrapText="1"/>
    </xf>
    <xf numFmtId="0" fontId="126" fillId="2" borderId="1" xfId="0" applyFont="1" applyFill="1" applyBorder="1" applyAlignment="1">
      <alignment horizontal="center" vertical="top"/>
    </xf>
    <xf numFmtId="0" fontId="126" fillId="2" borderId="6" xfId="0" applyFont="1" applyFill="1" applyBorder="1" applyAlignment="1">
      <alignment horizontal="center" vertical="top"/>
    </xf>
    <xf numFmtId="0" fontId="34" fillId="2" borderId="10" xfId="16" applyFont="1" applyFill="1" applyBorder="1" applyAlignment="1">
      <alignment vertical="top" wrapText="1"/>
    </xf>
    <xf numFmtId="0" fontId="34" fillId="2" borderId="10" xfId="0" applyFont="1" applyFill="1" applyBorder="1" applyAlignment="1">
      <alignment horizontal="left" vertical="top" wrapText="1"/>
    </xf>
    <xf numFmtId="0" fontId="126" fillId="2" borderId="6" xfId="0" applyFont="1" applyFill="1" applyBorder="1" applyAlignment="1">
      <alignment vertical="top"/>
    </xf>
    <xf numFmtId="0" fontId="126" fillId="2" borderId="10" xfId="0" applyFont="1" applyFill="1" applyBorder="1" applyAlignment="1">
      <alignment vertical="top"/>
    </xf>
    <xf numFmtId="0" fontId="34" fillId="0" borderId="5" xfId="0" applyFont="1" applyBorder="1" applyAlignment="1">
      <alignment horizontal="center" vertical="top"/>
    </xf>
    <xf numFmtId="0" fontId="34" fillId="0" borderId="5" xfId="0" applyFont="1" applyBorder="1" applyAlignment="1">
      <alignment vertical="top"/>
    </xf>
    <xf numFmtId="0" fontId="126" fillId="2" borderId="1" xfId="0" applyFont="1" applyFill="1" applyBorder="1" applyAlignment="1">
      <alignment vertical="top"/>
    </xf>
    <xf numFmtId="0" fontId="126" fillId="2" borderId="10" xfId="0" applyFont="1" applyFill="1" applyBorder="1" applyAlignment="1">
      <alignment horizontal="center" vertical="top"/>
    </xf>
    <xf numFmtId="0" fontId="126" fillId="2" borderId="5" xfId="0" applyFont="1" applyFill="1" applyBorder="1" applyAlignment="1">
      <alignment vertical="top"/>
    </xf>
    <xf numFmtId="0" fontId="126" fillId="2" borderId="1" xfId="0" applyFont="1" applyFill="1" applyBorder="1" applyAlignment="1">
      <alignment horizontal="center"/>
    </xf>
    <xf numFmtId="188" fontId="126" fillId="2" borderId="5" xfId="1" applyNumberFormat="1" applyFont="1" applyFill="1" applyBorder="1" applyAlignment="1">
      <alignment horizontal="right" vertical="top" wrapText="1"/>
    </xf>
    <xf numFmtId="188" fontId="126" fillId="2" borderId="5" xfId="0" applyNumberFormat="1" applyFont="1" applyFill="1" applyBorder="1" applyAlignment="1">
      <alignment horizontal="center" vertical="top"/>
    </xf>
    <xf numFmtId="0" fontId="126" fillId="2" borderId="6" xfId="0" applyFont="1" applyFill="1" applyBorder="1" applyAlignment="1">
      <alignment horizontal="center"/>
    </xf>
    <xf numFmtId="188" fontId="34" fillId="2" borderId="1" xfId="1" applyNumberFormat="1" applyFont="1" applyFill="1" applyBorder="1" applyAlignment="1">
      <alignment horizontal="center" vertical="top" wrapText="1"/>
    </xf>
    <xf numFmtId="188" fontId="126" fillId="2" borderId="1" xfId="1" applyNumberFormat="1" applyFont="1" applyFill="1" applyBorder="1" applyAlignment="1">
      <alignment horizontal="right" vertical="top" wrapText="1"/>
    </xf>
    <xf numFmtId="0" fontId="131" fillId="2" borderId="13" xfId="0" applyFont="1" applyFill="1" applyBorder="1" applyAlignment="1">
      <alignment vertical="top" wrapText="1"/>
    </xf>
    <xf numFmtId="190" fontId="34" fillId="2" borderId="1" xfId="1" applyNumberFormat="1" applyFont="1" applyFill="1" applyBorder="1" applyAlignment="1">
      <alignment horizontal="center" vertical="top" wrapText="1"/>
    </xf>
    <xf numFmtId="0" fontId="131" fillId="2" borderId="8" xfId="0" applyFont="1" applyFill="1" applyBorder="1" applyAlignment="1">
      <alignment vertical="top" wrapText="1"/>
    </xf>
    <xf numFmtId="0" fontId="126" fillId="2" borderId="10" xfId="0" applyFont="1" applyFill="1" applyBorder="1" applyAlignment="1">
      <alignment horizontal="center"/>
    </xf>
    <xf numFmtId="190" fontId="34" fillId="2" borderId="5" xfId="1" applyNumberFormat="1" applyFont="1" applyFill="1" applyBorder="1" applyAlignment="1">
      <alignment horizontal="center" vertical="top" wrapText="1"/>
    </xf>
    <xf numFmtId="0" fontId="131" fillId="2" borderId="4" xfId="0" applyFont="1" applyFill="1" applyBorder="1" applyAlignment="1">
      <alignment vertical="top" wrapText="1"/>
    </xf>
    <xf numFmtId="0" fontId="34" fillId="2" borderId="1" xfId="0" applyFont="1" applyFill="1" applyBorder="1" applyAlignment="1">
      <alignment horizontal="center" vertical="top" wrapText="1"/>
    </xf>
    <xf numFmtId="188" fontId="126" fillId="2" borderId="1" xfId="0" applyNumberFormat="1" applyFont="1" applyFill="1" applyBorder="1" applyAlignment="1">
      <alignment horizontal="center" vertical="top"/>
    </xf>
    <xf numFmtId="0" fontId="131" fillId="2" borderId="9" xfId="0" applyFont="1" applyFill="1" applyBorder="1" applyAlignment="1">
      <alignment vertical="top" wrapText="1"/>
    </xf>
    <xf numFmtId="0" fontId="34" fillId="2" borderId="10" xfId="0" applyFont="1" applyFill="1" applyBorder="1" applyAlignment="1">
      <alignment horizontal="center" vertical="top" wrapText="1"/>
    </xf>
    <xf numFmtId="188" fontId="34" fillId="2" borderId="10" xfId="1" applyNumberFormat="1" applyFont="1" applyFill="1" applyBorder="1" applyAlignment="1">
      <alignment horizontal="center" vertical="top" wrapText="1"/>
    </xf>
    <xf numFmtId="188" fontId="126" fillId="2" borderId="10" xfId="1" applyNumberFormat="1" applyFont="1" applyFill="1" applyBorder="1" applyAlignment="1">
      <alignment horizontal="right" vertical="top" wrapText="1"/>
    </xf>
    <xf numFmtId="188" fontId="126" fillId="2" borderId="10" xfId="0" applyNumberFormat="1" applyFont="1" applyFill="1" applyBorder="1" applyAlignment="1">
      <alignment horizontal="center" vertical="top"/>
    </xf>
    <xf numFmtId="0" fontId="34" fillId="2" borderId="5" xfId="0" applyFont="1" applyFill="1" applyBorder="1" applyAlignment="1">
      <alignment horizontal="justify" vertical="top"/>
    </xf>
    <xf numFmtId="0" fontId="34" fillId="2" borderId="4" xfId="0" applyFont="1" applyFill="1" applyBorder="1" applyAlignment="1">
      <alignment horizontal="left" vertical="top" wrapText="1"/>
    </xf>
    <xf numFmtId="0" fontId="34" fillId="2" borderId="4" xfId="0" applyFont="1" applyFill="1" applyBorder="1" applyAlignment="1">
      <alignment vertical="top" wrapText="1"/>
    </xf>
    <xf numFmtId="188" fontId="34" fillId="2" borderId="1" xfId="1" applyNumberFormat="1" applyFont="1" applyFill="1" applyBorder="1" applyAlignment="1">
      <alignment vertical="top" wrapText="1"/>
    </xf>
    <xf numFmtId="0" fontId="34" fillId="2" borderId="10" xfId="0" applyFont="1" applyFill="1" applyBorder="1" applyAlignment="1">
      <alignment vertical="top" wrapText="1"/>
    </xf>
    <xf numFmtId="188" fontId="34" fillId="2" borderId="10" xfId="1" applyNumberFormat="1" applyFont="1" applyFill="1" applyBorder="1" applyAlignment="1">
      <alignment vertical="top" wrapText="1"/>
    </xf>
    <xf numFmtId="188" fontId="38" fillId="2" borderId="10" xfId="1" applyNumberFormat="1" applyFont="1" applyFill="1" applyBorder="1" applyAlignment="1">
      <alignment horizontal="center" vertical="top" textRotation="90" wrapText="1"/>
    </xf>
    <xf numFmtId="0" fontId="34" fillId="0" borderId="1" xfId="0" applyFont="1" applyBorder="1" applyAlignment="1">
      <alignment horizontal="center"/>
    </xf>
    <xf numFmtId="0" fontId="34" fillId="0" borderId="4" xfId="0" applyFont="1" applyBorder="1" applyAlignment="1">
      <alignment vertical="top" wrapText="1"/>
    </xf>
    <xf numFmtId="0" fontId="34" fillId="0" borderId="1" xfId="0" applyFont="1" applyBorder="1" applyAlignment="1">
      <alignment horizontal="left" vertical="top" wrapText="1"/>
    </xf>
    <xf numFmtId="0" fontId="34" fillId="0" borderId="2" xfId="0" applyFont="1" applyBorder="1" applyAlignment="1">
      <alignment horizontal="left" vertical="top" wrapText="1"/>
    </xf>
    <xf numFmtId="0" fontId="34" fillId="0" borderId="3" xfId="0" applyFont="1" applyBorder="1" applyAlignment="1">
      <alignment vertical="top" wrapText="1"/>
    </xf>
    <xf numFmtId="188" fontId="34" fillId="0" borderId="1" xfId="1" applyNumberFormat="1" applyFont="1" applyFill="1" applyBorder="1" applyAlignment="1">
      <alignment horizontal="center" vertical="top" wrapText="1"/>
    </xf>
    <xf numFmtId="188" fontId="126" fillId="0" borderId="1" xfId="1" applyNumberFormat="1" applyFont="1" applyFill="1" applyBorder="1" applyAlignment="1">
      <alignment horizontal="center" vertical="top" wrapText="1"/>
    </xf>
    <xf numFmtId="0" fontId="34" fillId="0" borderId="10" xfId="0" applyFont="1" applyBorder="1" applyAlignment="1">
      <alignment horizontal="center"/>
    </xf>
    <xf numFmtId="0" fontId="34" fillId="0" borderId="9" xfId="0" applyFont="1" applyBorder="1" applyAlignment="1">
      <alignment horizontal="left" vertical="top" wrapText="1"/>
    </xf>
    <xf numFmtId="0" fontId="34" fillId="0" borderId="10" xfId="0" applyFont="1" applyBorder="1" applyAlignment="1">
      <alignment horizontal="left" vertical="top" wrapText="1"/>
    </xf>
    <xf numFmtId="0" fontId="34" fillId="0" borderId="7" xfId="0" applyFont="1" applyBorder="1" applyAlignment="1">
      <alignment horizontal="left" vertical="top" wrapText="1"/>
    </xf>
    <xf numFmtId="0" fontId="34" fillId="0" borderId="8" xfId="0" applyFont="1" applyBorder="1" applyAlignment="1">
      <alignment vertical="top" wrapText="1"/>
    </xf>
    <xf numFmtId="188" fontId="126" fillId="0" borderId="7" xfId="1" applyNumberFormat="1" applyFont="1" applyFill="1" applyBorder="1" applyAlignment="1">
      <alignment horizontal="left" vertical="top"/>
    </xf>
    <xf numFmtId="188" fontId="126" fillId="0" borderId="10" xfId="1" applyNumberFormat="1" applyFont="1" applyFill="1" applyBorder="1" applyAlignment="1">
      <alignment horizontal="center" vertical="top" wrapText="1"/>
    </xf>
    <xf numFmtId="0" fontId="34" fillId="2" borderId="5" xfId="0" applyFont="1" applyFill="1" applyBorder="1"/>
    <xf numFmtId="188" fontId="34" fillId="2" borderId="5" xfId="1" applyNumberFormat="1" applyFont="1" applyFill="1" applyBorder="1" applyAlignment="1">
      <alignment horizontal="left" vertical="top"/>
    </xf>
    <xf numFmtId="188" fontId="126" fillId="2" borderId="5" xfId="1" applyNumberFormat="1" applyFont="1" applyFill="1" applyBorder="1" applyAlignment="1">
      <alignment horizontal="right" vertical="top"/>
    </xf>
    <xf numFmtId="188" fontId="38" fillId="2" borderId="5" xfId="1" applyNumberFormat="1" applyFont="1" applyFill="1" applyBorder="1" applyAlignment="1">
      <alignment horizontal="center" vertical="top" textRotation="90" wrapText="1"/>
    </xf>
    <xf numFmtId="0" fontId="38" fillId="0" borderId="1" xfId="0" applyFont="1" applyBorder="1" applyAlignment="1">
      <alignment vertical="top" wrapText="1"/>
    </xf>
    <xf numFmtId="3" fontId="129" fillId="0" borderId="1" xfId="0" applyNumberFormat="1" applyFont="1" applyBorder="1" applyAlignment="1">
      <alignment vertical="top"/>
    </xf>
    <xf numFmtId="0" fontId="129" fillId="2" borderId="1" xfId="0" applyFont="1" applyFill="1" applyBorder="1" applyAlignment="1">
      <alignment horizontal="center" vertical="center" wrapText="1"/>
    </xf>
    <xf numFmtId="0" fontId="34" fillId="2" borderId="1" xfId="0" applyFont="1" applyFill="1" applyBorder="1" applyAlignment="1">
      <alignment horizontal="center" vertical="center"/>
    </xf>
    <xf numFmtId="0" fontId="38" fillId="11" borderId="10" xfId="0" applyFont="1" applyFill="1" applyBorder="1" applyAlignment="1">
      <alignment horizontal="left" vertical="top" wrapText="1"/>
    </xf>
    <xf numFmtId="3" fontId="129" fillId="11" borderId="10" xfId="0" applyNumberFormat="1" applyFont="1" applyFill="1" applyBorder="1" applyAlignment="1">
      <alignment vertical="top"/>
    </xf>
    <xf numFmtId="188" fontId="129" fillId="2" borderId="10" xfId="0" applyNumberFormat="1" applyFont="1" applyFill="1" applyBorder="1" applyAlignment="1">
      <alignment horizontal="center" vertical="top" wrapText="1"/>
    </xf>
    <xf numFmtId="0" fontId="38" fillId="0" borderId="1" xfId="0" applyFont="1" applyBorder="1" applyAlignment="1">
      <alignment horizontal="left" vertical="top" wrapText="1"/>
    </xf>
    <xf numFmtId="0" fontId="38" fillId="0" borderId="10" xfId="0" applyFont="1" applyBorder="1" applyAlignment="1">
      <alignment horizontal="left" vertical="top" wrapText="1"/>
    </xf>
    <xf numFmtId="0" fontId="38" fillId="0" borderId="10" xfId="0" applyFont="1" applyBorder="1" applyAlignment="1">
      <alignment vertical="top" wrapText="1"/>
    </xf>
    <xf numFmtId="3" fontId="129" fillId="0" borderId="10" xfId="0" applyNumberFormat="1" applyFont="1" applyBorder="1" applyAlignment="1">
      <alignment vertical="top"/>
    </xf>
    <xf numFmtId="0" fontId="126" fillId="2" borderId="5" xfId="10" applyFont="1" applyFill="1" applyBorder="1" applyAlignment="1">
      <alignment horizontal="center" vertical="top"/>
    </xf>
    <xf numFmtId="0" fontId="34" fillId="0" borderId="1" xfId="0" applyFont="1" applyBorder="1" applyAlignment="1">
      <alignment horizontal="center" vertical="top"/>
    </xf>
    <xf numFmtId="188" fontId="129" fillId="0" borderId="1" xfId="1" applyNumberFormat="1" applyFont="1" applyFill="1" applyBorder="1" applyAlignment="1">
      <alignment horizontal="center" vertical="top" wrapText="1"/>
    </xf>
    <xf numFmtId="188" fontId="126" fillId="2" borderId="1" xfId="1" applyNumberFormat="1" applyFont="1" applyFill="1" applyBorder="1" applyAlignment="1">
      <alignment vertical="top" wrapText="1"/>
    </xf>
    <xf numFmtId="188" fontId="34" fillId="2" borderId="1" xfId="1" applyNumberFormat="1" applyFont="1" applyFill="1" applyBorder="1" applyAlignment="1">
      <alignment vertical="top" textRotation="90" wrapText="1"/>
    </xf>
    <xf numFmtId="188" fontId="129" fillId="0" borderId="5" xfId="1" applyNumberFormat="1" applyFont="1" applyFill="1" applyBorder="1" applyAlignment="1">
      <alignment vertical="top" wrapText="1"/>
    </xf>
    <xf numFmtId="188" fontId="34" fillId="2" borderId="5" xfId="18" applyNumberFormat="1" applyFont="1" applyFill="1" applyBorder="1" applyAlignment="1">
      <alignment vertical="top"/>
    </xf>
    <xf numFmtId="0" fontId="34" fillId="2" borderId="5" xfId="10" applyFont="1" applyFill="1" applyBorder="1" applyAlignment="1">
      <alignment vertical="top"/>
    </xf>
    <xf numFmtId="0" fontId="34" fillId="2" borderId="5" xfId="10" applyFont="1" applyFill="1" applyBorder="1" applyAlignment="1">
      <alignment vertical="top" wrapText="1"/>
    </xf>
    <xf numFmtId="0" fontId="34" fillId="2" borderId="5" xfId="10" applyFont="1" applyFill="1" applyBorder="1" applyAlignment="1">
      <alignment horizontal="center" vertical="top"/>
    </xf>
    <xf numFmtId="0" fontId="34" fillId="2" borderId="5" xfId="10" applyFont="1" applyFill="1" applyBorder="1" applyAlignment="1">
      <alignment horizontal="center" vertical="top" wrapText="1"/>
    </xf>
    <xf numFmtId="188" fontId="126" fillId="2" borderId="5" xfId="1" applyNumberFormat="1" applyFont="1" applyFill="1" applyBorder="1" applyAlignment="1">
      <alignment vertical="top"/>
    </xf>
    <xf numFmtId="0" fontId="129" fillId="2" borderId="10" xfId="0" applyFont="1" applyFill="1" applyBorder="1" applyAlignment="1">
      <alignment horizontal="center" vertical="center" wrapText="1"/>
    </xf>
    <xf numFmtId="0" fontId="34" fillId="2" borderId="10" xfId="0" applyFont="1" applyFill="1" applyBorder="1" applyAlignment="1">
      <alignment horizontal="center" vertical="center"/>
    </xf>
    <xf numFmtId="0" fontId="126" fillId="0" borderId="6" xfId="0" applyFont="1" applyBorder="1" applyAlignment="1">
      <alignment horizontal="center" vertical="top"/>
    </xf>
    <xf numFmtId="188" fontId="129" fillId="2" borderId="5" xfId="0" applyNumberFormat="1" applyFont="1" applyFill="1" applyBorder="1" applyAlignment="1">
      <alignment horizontal="center" vertical="top" wrapText="1"/>
    </xf>
    <xf numFmtId="0" fontId="34" fillId="0" borderId="10" xfId="0" applyFont="1" applyBorder="1" applyAlignment="1">
      <alignment horizontal="center" vertical="top"/>
    </xf>
    <xf numFmtId="0" fontId="34" fillId="2" borderId="6" xfId="0" applyFont="1" applyFill="1" applyBorder="1" applyAlignment="1">
      <alignment horizontal="left" vertical="top" wrapText="1"/>
    </xf>
    <xf numFmtId="0" fontId="34" fillId="2" borderId="6" xfId="0" applyFont="1" applyFill="1" applyBorder="1" applyAlignment="1">
      <alignment vertical="top" wrapText="1"/>
    </xf>
    <xf numFmtId="0" fontId="34" fillId="2" borderId="6" xfId="0" applyFont="1" applyFill="1" applyBorder="1" applyAlignment="1">
      <alignment horizontal="center" vertical="top"/>
    </xf>
    <xf numFmtId="0" fontId="34" fillId="2" borderId="6" xfId="0" applyFont="1" applyFill="1" applyBorder="1" applyAlignment="1">
      <alignment horizontal="center" vertical="top" wrapText="1"/>
    </xf>
    <xf numFmtId="0" fontId="34" fillId="2" borderId="6" xfId="0" applyFont="1" applyFill="1" applyBorder="1" applyAlignment="1">
      <alignment vertical="top"/>
    </xf>
    <xf numFmtId="188" fontId="126" fillId="2" borderId="6" xfId="1" applyNumberFormat="1" applyFont="1" applyFill="1" applyBorder="1" applyAlignment="1">
      <alignment vertical="top" wrapText="1"/>
    </xf>
    <xf numFmtId="188" fontId="38" fillId="2" borderId="6" xfId="1" applyNumberFormat="1" applyFont="1" applyFill="1" applyBorder="1" applyAlignment="1">
      <alignment horizontal="center" vertical="top" wrapText="1"/>
    </xf>
    <xf numFmtId="0" fontId="129" fillId="2" borderId="6" xfId="0" applyFont="1" applyFill="1" applyBorder="1" applyAlignment="1">
      <alignment horizontal="center" vertical="top" wrapText="1"/>
    </xf>
    <xf numFmtId="0" fontId="34" fillId="2" borderId="10" xfId="0" applyFont="1" applyFill="1" applyBorder="1" applyAlignment="1">
      <alignment horizontal="center" vertical="top"/>
    </xf>
    <xf numFmtId="188" fontId="126" fillId="2" borderId="10" xfId="1" applyNumberFormat="1" applyFont="1" applyFill="1" applyBorder="1" applyAlignment="1">
      <alignment vertical="top" wrapText="1"/>
    </xf>
    <xf numFmtId="188" fontId="34" fillId="2" borderId="10" xfId="1" applyNumberFormat="1" applyFont="1" applyFill="1" applyBorder="1" applyAlignment="1">
      <alignment vertical="top" textRotation="90" wrapText="1"/>
    </xf>
    <xf numFmtId="0" fontId="38" fillId="2" borderId="6" xfId="0" applyFont="1" applyFill="1" applyBorder="1" applyAlignment="1">
      <alignment vertical="top" wrapText="1"/>
    </xf>
    <xf numFmtId="3" fontId="34" fillId="2" borderId="6" xfId="0" applyNumberFormat="1" applyFont="1" applyFill="1" applyBorder="1" applyAlignment="1">
      <alignment vertical="top"/>
    </xf>
    <xf numFmtId="188" fontId="34" fillId="2" borderId="6" xfId="1" applyNumberFormat="1" applyFont="1" applyFill="1" applyBorder="1" applyAlignment="1">
      <alignment vertical="top" wrapText="1"/>
    </xf>
    <xf numFmtId="0" fontId="34" fillId="0" borderId="8" xfId="0" applyFont="1" applyBorder="1" applyAlignment="1">
      <alignment horizontal="left" vertical="top" wrapText="1"/>
    </xf>
    <xf numFmtId="0" fontId="38" fillId="2" borderId="5" xfId="10" applyFont="1" applyFill="1" applyBorder="1" applyAlignment="1">
      <alignment horizontal="center" vertical="top" wrapText="1"/>
    </xf>
    <xf numFmtId="188" fontId="38" fillId="2" borderId="5" xfId="18" applyNumberFormat="1" applyFont="1" applyFill="1" applyBorder="1" applyAlignment="1">
      <alignment horizontal="center" vertical="top" wrapText="1"/>
    </xf>
    <xf numFmtId="0" fontId="129" fillId="2" borderId="5" xfId="10" applyFont="1" applyFill="1" applyBorder="1" applyAlignment="1">
      <alignment horizontal="center" vertical="top" wrapText="1"/>
    </xf>
    <xf numFmtId="0" fontId="38" fillId="2" borderId="5" xfId="10" applyFont="1" applyFill="1" applyBorder="1" applyAlignment="1">
      <alignment horizontal="left" vertical="top" wrapText="1"/>
    </xf>
    <xf numFmtId="188" fontId="129" fillId="2" borderId="5" xfId="18" applyNumberFormat="1" applyFont="1" applyFill="1" applyBorder="1" applyAlignment="1">
      <alignment horizontal="center" vertical="top" wrapText="1"/>
    </xf>
    <xf numFmtId="188" fontId="38" fillId="2" borderId="1" xfId="18" applyNumberFormat="1" applyFont="1" applyFill="1" applyBorder="1" applyAlignment="1">
      <alignment horizontal="center" vertical="top" wrapText="1"/>
    </xf>
    <xf numFmtId="188" fontId="34" fillId="2" borderId="5" xfId="18" applyNumberFormat="1" applyFont="1" applyFill="1" applyBorder="1" applyAlignment="1">
      <alignment vertical="top" wrapText="1"/>
    </xf>
    <xf numFmtId="188" fontId="34" fillId="2" borderId="5" xfId="18" applyNumberFormat="1" applyFont="1" applyFill="1" applyBorder="1" applyAlignment="1">
      <alignment horizontal="center" vertical="top"/>
    </xf>
    <xf numFmtId="0" fontId="34" fillId="2" borderId="1" xfId="10" applyFont="1" applyFill="1" applyBorder="1" applyAlignment="1">
      <alignment horizontal="center" vertical="top"/>
    </xf>
    <xf numFmtId="0" fontId="34" fillId="2" borderId="2" xfId="0" applyFont="1" applyFill="1" applyBorder="1" applyAlignment="1">
      <alignment horizontal="left" vertical="top" wrapText="1"/>
    </xf>
    <xf numFmtId="0" fontId="34" fillId="2" borderId="3" xfId="0" applyFont="1" applyFill="1" applyBorder="1" applyAlignment="1">
      <alignment horizontal="left" vertical="top" wrapText="1"/>
    </xf>
    <xf numFmtId="0" fontId="38" fillId="2" borderId="1" xfId="10" applyFont="1" applyFill="1" applyBorder="1" applyAlignment="1">
      <alignment horizontal="center" vertical="top" wrapText="1"/>
    </xf>
    <xf numFmtId="0" fontId="34" fillId="2" borderId="1" xfId="10" applyFont="1" applyFill="1" applyBorder="1" applyAlignment="1">
      <alignment vertical="top"/>
    </xf>
    <xf numFmtId="0" fontId="34" fillId="2" borderId="1" xfId="10" applyFont="1" applyFill="1" applyBorder="1" applyAlignment="1">
      <alignment vertical="top" wrapText="1"/>
    </xf>
    <xf numFmtId="188" fontId="34" fillId="2" borderId="1" xfId="18" applyNumberFormat="1" applyFont="1" applyFill="1" applyBorder="1" applyAlignment="1">
      <alignment vertical="top" wrapText="1"/>
    </xf>
    <xf numFmtId="188" fontId="34" fillId="2" borderId="1" xfId="18" applyNumberFormat="1" applyFont="1" applyFill="1" applyBorder="1" applyAlignment="1">
      <alignment vertical="top"/>
    </xf>
    <xf numFmtId="188" fontId="34" fillId="2" borderId="1" xfId="18" applyNumberFormat="1" applyFont="1" applyFill="1" applyBorder="1" applyAlignment="1">
      <alignment horizontal="center" vertical="top"/>
    </xf>
    <xf numFmtId="188" fontId="126" fillId="2" borderId="5" xfId="18" applyNumberFormat="1" applyFont="1" applyFill="1" applyBorder="1" applyAlignment="1">
      <alignment vertical="top" wrapText="1"/>
    </xf>
    <xf numFmtId="0" fontId="130" fillId="0" borderId="5" xfId="0" applyFont="1" applyBorder="1"/>
    <xf numFmtId="0" fontId="34" fillId="0" borderId="0" xfId="0" applyFont="1" applyAlignment="1">
      <alignment horizontal="center" vertical="center"/>
    </xf>
    <xf numFmtId="188" fontId="126" fillId="0" borderId="0" xfId="0" applyNumberFormat="1" applyFont="1"/>
    <xf numFmtId="43" fontId="34" fillId="0" borderId="0" xfId="1" applyFont="1"/>
    <xf numFmtId="189" fontId="34" fillId="0" borderId="0" xfId="0" applyNumberFormat="1" applyFont="1"/>
    <xf numFmtId="188" fontId="34" fillId="0" borderId="0" xfId="0" applyNumberFormat="1" applyFont="1"/>
    <xf numFmtId="0" fontId="34" fillId="6" borderId="5" xfId="0" applyFont="1" applyFill="1" applyBorder="1" applyAlignment="1">
      <alignment horizontal="center"/>
    </xf>
    <xf numFmtId="0" fontId="34" fillId="6" borderId="6" xfId="0" applyFont="1" applyFill="1" applyBorder="1" applyAlignment="1">
      <alignment horizontal="center" vertical="center" wrapText="1"/>
    </xf>
    <xf numFmtId="0" fontId="34" fillId="6" borderId="1" xfId="10" applyFont="1" applyFill="1" applyBorder="1" applyAlignment="1">
      <alignment vertical="center"/>
    </xf>
    <xf numFmtId="0" fontId="38" fillId="6" borderId="6"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38" fillId="6" borderId="5" xfId="0" applyFont="1" applyFill="1" applyBorder="1" applyAlignment="1">
      <alignment horizontal="center" vertical="center" wrapText="1"/>
    </xf>
    <xf numFmtId="0" fontId="38" fillId="6" borderId="1" xfId="0" applyFont="1" applyFill="1" applyBorder="1" applyAlignment="1">
      <alignment horizontal="center" vertical="top" wrapText="1"/>
    </xf>
    <xf numFmtId="188" fontId="38" fillId="6" borderId="5" xfId="1" applyNumberFormat="1" applyFont="1" applyFill="1" applyBorder="1" applyAlignment="1">
      <alignment horizontal="center" vertical="top" wrapText="1"/>
    </xf>
    <xf numFmtId="188" fontId="38" fillId="6" borderId="6" xfId="1" applyNumberFormat="1" applyFont="1" applyFill="1" applyBorder="1" applyAlignment="1">
      <alignment horizontal="center" vertical="center" wrapText="1"/>
    </xf>
    <xf numFmtId="188" fontId="38" fillId="6" borderId="6" xfId="1" applyNumberFormat="1" applyFont="1" applyFill="1" applyBorder="1" applyAlignment="1">
      <alignment horizontal="center" vertical="top" wrapText="1"/>
    </xf>
    <xf numFmtId="0" fontId="34" fillId="6" borderId="1" xfId="0" applyFont="1" applyFill="1" applyBorder="1" applyAlignment="1">
      <alignment horizontal="center" vertical="center"/>
    </xf>
    <xf numFmtId="0" fontId="34" fillId="6" borderId="5" xfId="0" applyFont="1" applyFill="1" applyBorder="1" applyAlignment="1">
      <alignment vertical="top"/>
    </xf>
    <xf numFmtId="0" fontId="34" fillId="6" borderId="5" xfId="0" applyFont="1" applyFill="1" applyBorder="1" applyAlignment="1">
      <alignment horizontal="center" vertical="center" wrapText="1"/>
    </xf>
    <xf numFmtId="0" fontId="34" fillId="6" borderId="5" xfId="0" applyFont="1" applyFill="1" applyBorder="1" applyAlignment="1">
      <alignment horizontal="center" vertical="center"/>
    </xf>
    <xf numFmtId="0" fontId="38" fillId="6" borderId="5" xfId="0" applyFont="1" applyFill="1" applyBorder="1" applyAlignment="1">
      <alignment horizontal="center" vertical="top" wrapText="1"/>
    </xf>
    <xf numFmtId="0" fontId="34" fillId="6" borderId="0" xfId="0" applyFont="1" applyFill="1"/>
    <xf numFmtId="188" fontId="34" fillId="6" borderId="5" xfId="1" applyNumberFormat="1" applyFont="1" applyFill="1" applyBorder="1" applyAlignment="1">
      <alignment vertical="top"/>
    </xf>
    <xf numFmtId="0" fontId="38" fillId="6" borderId="5" xfId="0" applyFont="1" applyFill="1" applyBorder="1" applyAlignment="1">
      <alignment horizontal="left" vertical="top" wrapText="1"/>
    </xf>
    <xf numFmtId="3" fontId="34" fillId="6" borderId="5" xfId="0" applyNumberFormat="1" applyFont="1" applyFill="1" applyBorder="1" applyAlignment="1">
      <alignment vertical="top"/>
    </xf>
    <xf numFmtId="0" fontId="129" fillId="6" borderId="5" xfId="0" applyFont="1" applyFill="1" applyBorder="1" applyAlignment="1">
      <alignment horizontal="center" vertical="top" wrapText="1"/>
    </xf>
    <xf numFmtId="188" fontId="34" fillId="6" borderId="5" xfId="1" applyNumberFormat="1" applyFont="1" applyFill="1" applyBorder="1" applyAlignment="1">
      <alignment vertical="top" wrapText="1"/>
    </xf>
    <xf numFmtId="0" fontId="34" fillId="6" borderId="5" xfId="0" applyFont="1" applyFill="1" applyBorder="1" applyAlignment="1">
      <alignment vertical="center"/>
    </xf>
    <xf numFmtId="0" fontId="34" fillId="6" borderId="5" xfId="0" applyFont="1" applyFill="1" applyBorder="1" applyAlignment="1">
      <alignment horizontal="left" vertical="center"/>
    </xf>
    <xf numFmtId="0" fontId="126" fillId="6" borderId="1" xfId="0" applyFont="1" applyFill="1" applyBorder="1" applyAlignment="1">
      <alignment horizontal="center" vertical="center"/>
    </xf>
    <xf numFmtId="188" fontId="34" fillId="6" borderId="5" xfId="1" applyNumberFormat="1" applyFont="1" applyFill="1" applyBorder="1" applyAlignment="1">
      <alignment horizontal="center" vertical="center" wrapText="1"/>
    </xf>
    <xf numFmtId="188" fontId="34" fillId="6" borderId="1" xfId="0" applyNumberFormat="1" applyFont="1" applyFill="1" applyBorder="1" applyAlignment="1">
      <alignment horizontal="center" vertical="center" wrapText="1"/>
    </xf>
    <xf numFmtId="0" fontId="34" fillId="6" borderId="11" xfId="0" applyFont="1" applyFill="1" applyBorder="1" applyAlignment="1">
      <alignment vertical="center"/>
    </xf>
    <xf numFmtId="0" fontId="34" fillId="6" borderId="12" xfId="0" applyFont="1" applyFill="1" applyBorder="1" applyAlignment="1">
      <alignment vertical="center"/>
    </xf>
    <xf numFmtId="0" fontId="126" fillId="6" borderId="12" xfId="0" applyFont="1" applyFill="1" applyBorder="1" applyAlignment="1">
      <alignment vertical="center"/>
    </xf>
    <xf numFmtId="0" fontId="126" fillId="6" borderId="13" xfId="0" applyFont="1" applyFill="1" applyBorder="1" applyAlignment="1">
      <alignment vertical="center"/>
    </xf>
    <xf numFmtId="0" fontId="34" fillId="6" borderId="5" xfId="0" applyFont="1" applyFill="1" applyBorder="1" applyAlignment="1">
      <alignment horizontal="center" vertical="top" wrapText="1"/>
    </xf>
    <xf numFmtId="0" fontId="34" fillId="6" borderId="1" xfId="0" applyFont="1" applyFill="1" applyBorder="1" applyAlignment="1">
      <alignment vertical="center"/>
    </xf>
    <xf numFmtId="0" fontId="130" fillId="6" borderId="5" xfId="0" applyFont="1" applyFill="1" applyBorder="1" applyAlignment="1">
      <alignment horizontal="center" vertical="center"/>
    </xf>
    <xf numFmtId="0" fontId="34" fillId="6" borderId="13" xfId="0" applyFont="1" applyFill="1" applyBorder="1" applyAlignment="1">
      <alignment vertical="top"/>
    </xf>
    <xf numFmtId="0" fontId="34" fillId="6" borderId="5" xfId="0" applyFont="1" applyFill="1" applyBorder="1" applyAlignment="1">
      <alignment horizontal="left" vertical="top" wrapText="1"/>
    </xf>
    <xf numFmtId="0" fontId="34" fillId="6" borderId="5" xfId="0" applyFont="1" applyFill="1" applyBorder="1" applyAlignment="1">
      <alignment vertical="top" wrapText="1"/>
    </xf>
    <xf numFmtId="188" fontId="34" fillId="6" borderId="5" xfId="1" applyNumberFormat="1" applyFont="1" applyFill="1" applyBorder="1" applyAlignment="1">
      <alignment horizontal="right" vertical="top" wrapText="1"/>
    </xf>
    <xf numFmtId="188" fontId="34" fillId="6" borderId="5" xfId="0" applyNumberFormat="1" applyFont="1" applyFill="1" applyBorder="1" applyAlignment="1">
      <alignment horizontal="center" vertical="top"/>
    </xf>
    <xf numFmtId="192" fontId="34" fillId="2" borderId="1" xfId="1" applyNumberFormat="1" applyFont="1" applyFill="1" applyBorder="1" applyAlignment="1">
      <alignment horizontal="center" vertical="top" wrapText="1"/>
    </xf>
    <xf numFmtId="0" fontId="34" fillId="6" borderId="8" xfId="0" applyFont="1" applyFill="1" applyBorder="1" applyAlignment="1">
      <alignment horizontal="left" vertical="top" wrapText="1"/>
    </xf>
    <xf numFmtId="188" fontId="34" fillId="6" borderId="1" xfId="1" applyNumberFormat="1" applyFont="1" applyFill="1" applyBorder="1" applyAlignment="1">
      <alignment horizontal="center" vertical="top" wrapText="1"/>
    </xf>
    <xf numFmtId="188" fontId="34" fillId="6" borderId="1" xfId="1" applyNumberFormat="1" applyFont="1" applyFill="1" applyBorder="1" applyAlignment="1">
      <alignment horizontal="right" vertical="top" wrapText="1"/>
    </xf>
    <xf numFmtId="188" fontId="34" fillId="6" borderId="5" xfId="1" applyNumberFormat="1" applyFont="1" applyFill="1" applyBorder="1" applyAlignment="1">
      <alignment horizontal="center" vertical="top" wrapText="1"/>
    </xf>
    <xf numFmtId="0" fontId="34" fillId="6" borderId="5" xfId="0" applyFont="1" applyFill="1" applyBorder="1" applyAlignment="1">
      <alignment horizontal="center" vertical="top"/>
    </xf>
    <xf numFmtId="0" fontId="38" fillId="6" borderId="10" xfId="0" applyFont="1" applyFill="1" applyBorder="1" applyAlignment="1">
      <alignment horizontal="center" vertical="center" wrapText="1"/>
    </xf>
    <xf numFmtId="188" fontId="38" fillId="6" borderId="10" xfId="0" applyNumberFormat="1" applyFont="1" applyFill="1" applyBorder="1" applyAlignment="1">
      <alignment horizontal="center" vertical="top" wrapText="1"/>
    </xf>
    <xf numFmtId="0" fontId="34" fillId="6" borderId="13" xfId="0" applyFont="1" applyFill="1" applyBorder="1" applyAlignment="1">
      <alignment vertical="center"/>
    </xf>
    <xf numFmtId="0" fontId="130" fillId="6" borderId="5" xfId="0" applyFont="1" applyFill="1" applyBorder="1" applyAlignment="1">
      <alignment horizontal="center"/>
    </xf>
    <xf numFmtId="0" fontId="34" fillId="6" borderId="5" xfId="0" applyFont="1" applyFill="1" applyBorder="1"/>
    <xf numFmtId="0" fontId="34" fillId="6" borderId="4" xfId="0" applyFont="1" applyFill="1" applyBorder="1" applyAlignment="1">
      <alignment vertical="center"/>
    </xf>
    <xf numFmtId="0" fontId="34" fillId="6" borderId="1" xfId="0" applyFont="1" applyFill="1" applyBorder="1" applyAlignment="1">
      <alignment horizontal="left" vertical="top" wrapText="1"/>
    </xf>
    <xf numFmtId="0" fontId="34" fillId="6" borderId="1" xfId="0" applyFont="1" applyFill="1" applyBorder="1" applyAlignment="1">
      <alignment vertical="top" wrapText="1"/>
    </xf>
    <xf numFmtId="188" fontId="34" fillId="6" borderId="1" xfId="1" applyNumberFormat="1" applyFont="1" applyFill="1" applyBorder="1" applyAlignment="1">
      <alignment vertical="top" wrapText="1"/>
    </xf>
    <xf numFmtId="0" fontId="34" fillId="6" borderId="10" xfId="0" applyFont="1" applyFill="1" applyBorder="1" applyAlignment="1">
      <alignment horizontal="center" vertical="center" wrapText="1"/>
    </xf>
    <xf numFmtId="0" fontId="38" fillId="6" borderId="10" xfId="10" applyFont="1" applyFill="1" applyBorder="1" applyAlignment="1">
      <alignment horizontal="center" vertical="center" wrapText="1"/>
    </xf>
    <xf numFmtId="0" fontId="34" fillId="6" borderId="10" xfId="0" applyFont="1" applyFill="1" applyBorder="1" applyAlignment="1">
      <alignment horizontal="center" vertical="center"/>
    </xf>
    <xf numFmtId="0" fontId="38" fillId="6" borderId="11" xfId="0" applyFont="1" applyFill="1" applyBorder="1" applyAlignment="1">
      <alignment vertical="center"/>
    </xf>
    <xf numFmtId="0" fontId="126" fillId="6" borderId="5" xfId="0" applyFont="1" applyFill="1" applyBorder="1"/>
    <xf numFmtId="3" fontId="34" fillId="6" borderId="5" xfId="0" applyNumberFormat="1" applyFont="1" applyFill="1" applyBorder="1"/>
    <xf numFmtId="188" fontId="34" fillId="6" borderId="5" xfId="0" applyNumberFormat="1" applyFont="1" applyFill="1" applyBorder="1"/>
    <xf numFmtId="0" fontId="34" fillId="6" borderId="10" xfId="0" applyFont="1" applyFill="1" applyBorder="1" applyAlignment="1">
      <alignment vertical="top"/>
    </xf>
    <xf numFmtId="0" fontId="34" fillId="6" borderId="5" xfId="10" applyFont="1" applyFill="1" applyBorder="1" applyAlignment="1">
      <alignment horizontal="center" vertical="top"/>
    </xf>
    <xf numFmtId="0" fontId="38" fillId="6" borderId="5" xfId="0" applyFont="1" applyFill="1" applyBorder="1" applyAlignment="1">
      <alignment vertical="center"/>
    </xf>
    <xf numFmtId="0" fontId="34" fillId="6" borderId="5" xfId="10" applyFont="1" applyFill="1" applyBorder="1" applyAlignment="1">
      <alignment vertical="top"/>
    </xf>
    <xf numFmtId="0" fontId="34" fillId="6" borderId="10" xfId="10" applyFont="1" applyFill="1" applyBorder="1" applyAlignment="1">
      <alignment vertical="center"/>
    </xf>
    <xf numFmtId="0" fontId="38" fillId="6" borderId="10" xfId="0" applyFont="1" applyFill="1" applyBorder="1" applyAlignment="1">
      <alignment horizontal="center" vertical="top" wrapText="1"/>
    </xf>
    <xf numFmtId="188" fontId="38" fillId="6" borderId="10" xfId="1" applyNumberFormat="1" applyFont="1" applyFill="1" applyBorder="1" applyAlignment="1">
      <alignment horizontal="center" vertical="top" wrapText="1"/>
    </xf>
    <xf numFmtId="188" fontId="38" fillId="6" borderId="10" xfId="1" applyNumberFormat="1" applyFont="1" applyFill="1" applyBorder="1" applyAlignment="1">
      <alignment horizontal="left" vertical="center" wrapText="1"/>
    </xf>
    <xf numFmtId="0" fontId="34" fillId="6" borderId="5" xfId="10" applyFont="1" applyFill="1" applyBorder="1" applyAlignment="1">
      <alignment vertical="center"/>
    </xf>
    <xf numFmtId="188" fontId="38" fillId="6" borderId="5" xfId="1" applyNumberFormat="1" applyFont="1" applyFill="1" applyBorder="1" applyAlignment="1">
      <alignment horizontal="left" vertical="top" wrapText="1"/>
    </xf>
    <xf numFmtId="188" fontId="38" fillId="6" borderId="5" xfId="0" applyNumberFormat="1" applyFont="1" applyFill="1" applyBorder="1" applyAlignment="1">
      <alignment horizontal="center" vertical="top" wrapText="1"/>
    </xf>
    <xf numFmtId="0" fontId="126" fillId="6" borderId="5" xfId="0" applyFont="1" applyFill="1" applyBorder="1" applyAlignment="1">
      <alignment vertical="top" wrapText="1"/>
    </xf>
    <xf numFmtId="188" fontId="34" fillId="6" borderId="5" xfId="1" applyNumberFormat="1" applyFont="1" applyFill="1" applyBorder="1" applyAlignment="1">
      <alignment vertical="center" wrapText="1"/>
    </xf>
    <xf numFmtId="188" fontId="34" fillId="6" borderId="1" xfId="18" applyNumberFormat="1" applyFont="1" applyFill="1" applyBorder="1" applyAlignment="1">
      <alignment vertical="top"/>
    </xf>
    <xf numFmtId="0" fontId="38" fillId="6" borderId="5" xfId="10" applyFont="1" applyFill="1" applyBorder="1" applyAlignment="1">
      <alignment horizontal="left" vertical="top" wrapText="1"/>
    </xf>
    <xf numFmtId="0" fontId="38" fillId="6" borderId="5" xfId="10" applyFont="1" applyFill="1" applyBorder="1" applyAlignment="1">
      <alignment vertical="top" wrapText="1"/>
    </xf>
    <xf numFmtId="0" fontId="38" fillId="6" borderId="5" xfId="10" applyFont="1" applyFill="1" applyBorder="1" applyAlignment="1">
      <alignment horizontal="center" vertical="top" wrapText="1"/>
    </xf>
    <xf numFmtId="188" fontId="38" fillId="6" borderId="5" xfId="18" applyNumberFormat="1" applyFont="1" applyFill="1" applyBorder="1" applyAlignment="1">
      <alignment horizontal="center" vertical="top" wrapText="1"/>
    </xf>
    <xf numFmtId="188" fontId="34" fillId="6" borderId="5" xfId="18" applyNumberFormat="1" applyFont="1" applyFill="1" applyBorder="1" applyAlignment="1">
      <alignment vertical="top"/>
    </xf>
    <xf numFmtId="188" fontId="34" fillId="6" borderId="5" xfId="18" applyNumberFormat="1" applyFont="1" applyFill="1" applyBorder="1" applyAlignment="1">
      <alignment vertical="top" wrapText="1"/>
    </xf>
    <xf numFmtId="0" fontId="34" fillId="6" borderId="1" xfId="10" applyFont="1" applyFill="1" applyBorder="1" applyAlignment="1">
      <alignment horizontal="center" vertical="top"/>
    </xf>
    <xf numFmtId="0" fontId="129" fillId="6" borderId="1" xfId="10" applyFont="1" applyFill="1" applyBorder="1" applyAlignment="1">
      <alignment horizontal="center" vertical="top" wrapText="1"/>
    </xf>
    <xf numFmtId="0" fontId="34" fillId="6" borderId="1" xfId="10" applyFont="1" applyFill="1" applyBorder="1" applyAlignment="1">
      <alignment vertical="top"/>
    </xf>
    <xf numFmtId="188" fontId="34" fillId="6" borderId="1" xfId="18" applyNumberFormat="1" applyFont="1" applyFill="1" applyBorder="1" applyAlignment="1">
      <alignment vertical="top" wrapText="1"/>
    </xf>
    <xf numFmtId="0" fontId="34" fillId="6" borderId="5" xfId="0" applyFont="1" applyFill="1" applyBorder="1" applyAlignment="1">
      <alignment horizontal="center" wrapText="1"/>
    </xf>
    <xf numFmtId="0" fontId="34" fillId="0" borderId="5" xfId="0" applyFont="1" applyBorder="1" applyAlignment="1">
      <alignment vertical="center"/>
    </xf>
    <xf numFmtId="188" fontId="34" fillId="0" borderId="5" xfId="1" applyNumberFormat="1" applyFont="1" applyFill="1" applyBorder="1" applyAlignment="1">
      <alignment horizontal="center" vertical="center" wrapText="1"/>
    </xf>
    <xf numFmtId="0" fontId="94" fillId="0" borderId="0" xfId="0" applyFont="1"/>
    <xf numFmtId="0" fontId="94" fillId="0" borderId="0" xfId="0" applyFont="1" applyAlignment="1">
      <alignment horizontal="center"/>
    </xf>
    <xf numFmtId="0" fontId="133" fillId="0" borderId="0" xfId="0" applyFont="1"/>
    <xf numFmtId="0" fontId="134" fillId="0" borderId="0" xfId="0" applyFont="1" applyAlignment="1">
      <alignment horizontal="left" readingOrder="1"/>
    </xf>
    <xf numFmtId="188" fontId="94" fillId="0" borderId="0" xfId="1" applyNumberFormat="1" applyFont="1" applyAlignment="1"/>
    <xf numFmtId="187" fontId="94" fillId="0" borderId="0" xfId="0" applyNumberFormat="1" applyFont="1" applyAlignment="1">
      <alignment horizontal="left"/>
    </xf>
    <xf numFmtId="187" fontId="94" fillId="0" borderId="0" xfId="0" applyNumberFormat="1" applyFont="1"/>
    <xf numFmtId="188" fontId="94" fillId="0" borderId="0" xfId="1" applyNumberFormat="1" applyFont="1"/>
    <xf numFmtId="0" fontId="94" fillId="0" borderId="0" xfId="0" applyFont="1" applyAlignment="1">
      <alignment horizontal="left"/>
    </xf>
    <xf numFmtId="188" fontId="94" fillId="6" borderId="5" xfId="1" applyNumberFormat="1" applyFont="1" applyFill="1" applyBorder="1" applyAlignment="1">
      <alignment horizontal="center" vertical="center"/>
    </xf>
    <xf numFmtId="0" fontId="94" fillId="6" borderId="5" xfId="0" applyFont="1" applyFill="1" applyBorder="1" applyAlignment="1">
      <alignment horizontal="center" vertical="center"/>
    </xf>
    <xf numFmtId="0" fontId="94" fillId="0" borderId="5" xfId="0" applyFont="1" applyBorder="1" applyAlignment="1">
      <alignment horizontal="center" vertical="center"/>
    </xf>
    <xf numFmtId="187" fontId="94" fillId="0" borderId="0" xfId="0" applyNumberFormat="1" applyFont="1" applyAlignment="1">
      <alignment horizontal="center"/>
    </xf>
    <xf numFmtId="188" fontId="94" fillId="6" borderId="0" xfId="1" applyNumberFormat="1" applyFont="1" applyFill="1" applyAlignment="1">
      <alignment horizontal="center"/>
    </xf>
    <xf numFmtId="188" fontId="94" fillId="6" borderId="5" xfId="0" applyNumberFormat="1" applyFont="1" applyFill="1" applyBorder="1"/>
    <xf numFmtId="188" fontId="94" fillId="6" borderId="5" xfId="0" applyNumberFormat="1" applyFont="1" applyFill="1" applyBorder="1" applyAlignment="1">
      <alignment textRotation="90" wrapText="1"/>
    </xf>
    <xf numFmtId="188" fontId="94" fillId="0" borderId="5" xfId="0" applyNumberFormat="1" applyFont="1" applyBorder="1"/>
    <xf numFmtId="193" fontId="94" fillId="0" borderId="5" xfId="0" applyNumberFormat="1" applyFont="1" applyBorder="1"/>
    <xf numFmtId="0" fontId="94" fillId="0" borderId="5" xfId="0" applyFont="1" applyBorder="1"/>
    <xf numFmtId="0" fontId="94" fillId="0" borderId="2" xfId="0" applyFont="1" applyBorder="1"/>
    <xf numFmtId="0" fontId="94" fillId="0" borderId="3" xfId="0" applyFont="1" applyBorder="1"/>
    <xf numFmtId="0" fontId="94" fillId="0" borderId="4" xfId="0" applyFont="1" applyBorder="1"/>
    <xf numFmtId="0" fontId="94" fillId="0" borderId="7" xfId="0" applyFont="1" applyBorder="1"/>
    <xf numFmtId="0" fontId="94" fillId="0" borderId="8" xfId="0" applyFont="1" applyBorder="1"/>
    <xf numFmtId="0" fontId="94" fillId="0" borderId="9" xfId="0" applyFont="1" applyBorder="1"/>
    <xf numFmtId="0" fontId="94" fillId="0" borderId="1" xfId="0" applyFont="1" applyBorder="1"/>
    <xf numFmtId="0" fontId="94" fillId="0" borderId="5" xfId="0" applyFont="1" applyBorder="1" applyAlignment="1">
      <alignment horizontal="center"/>
    </xf>
    <xf numFmtId="0" fontId="95" fillId="0" borderId="5" xfId="0" applyFont="1" applyBorder="1" applyAlignment="1">
      <alignment horizontal="center" vertical="top" wrapText="1"/>
    </xf>
    <xf numFmtId="188" fontId="95" fillId="0" borderId="5" xfId="1" applyNumberFormat="1" applyFont="1" applyFill="1" applyBorder="1" applyAlignment="1">
      <alignment horizontal="center" vertical="top" wrapText="1"/>
    </xf>
    <xf numFmtId="0" fontId="95" fillId="0" borderId="10" xfId="0" applyFont="1" applyBorder="1" applyAlignment="1">
      <alignment horizontal="center" vertical="top" wrapText="1"/>
    </xf>
    <xf numFmtId="0" fontId="94" fillId="0" borderId="10" xfId="0" applyFont="1" applyBorder="1"/>
    <xf numFmtId="0" fontId="95" fillId="0" borderId="10" xfId="0" applyFont="1" applyBorder="1" applyAlignment="1">
      <alignment horizontal="center" vertical="center" wrapText="1"/>
    </xf>
    <xf numFmtId="188" fontId="95" fillId="0" borderId="10" xfId="1" applyNumberFormat="1" applyFont="1" applyFill="1" applyBorder="1" applyAlignment="1">
      <alignment horizontal="center" vertical="top" wrapText="1"/>
    </xf>
    <xf numFmtId="188" fontId="95" fillId="0" borderId="10" xfId="4" applyNumberFormat="1" applyFont="1" applyFill="1" applyBorder="1" applyAlignment="1">
      <alignment horizontal="center" vertical="center" wrapText="1"/>
    </xf>
    <xf numFmtId="0" fontId="94" fillId="6" borderId="5" xfId="0" applyFont="1" applyFill="1" applyBorder="1"/>
    <xf numFmtId="0" fontId="94" fillId="6" borderId="10" xfId="0" applyFont="1" applyFill="1" applyBorder="1" applyAlignment="1">
      <alignment horizontal="center" vertical="center" wrapText="1"/>
    </xf>
    <xf numFmtId="0" fontId="95" fillId="6" borderId="10" xfId="0" applyFont="1" applyFill="1" applyBorder="1" applyAlignment="1">
      <alignment vertical="center"/>
    </xf>
    <xf numFmtId="0" fontId="95" fillId="6" borderId="10" xfId="0" applyFont="1" applyFill="1" applyBorder="1" applyAlignment="1">
      <alignment vertical="center" wrapText="1"/>
    </xf>
    <xf numFmtId="0" fontId="95" fillId="6" borderId="10" xfId="0" applyFont="1" applyFill="1" applyBorder="1" applyAlignment="1">
      <alignment horizontal="center" vertical="center" wrapText="1"/>
    </xf>
    <xf numFmtId="0" fontId="95" fillId="6" borderId="10" xfId="0" applyFont="1" applyFill="1" applyBorder="1" applyAlignment="1">
      <alignment horizontal="center" vertical="top" wrapText="1"/>
    </xf>
    <xf numFmtId="188" fontId="95" fillId="6" borderId="10" xfId="1" applyNumberFormat="1" applyFont="1" applyFill="1" applyBorder="1" applyAlignment="1">
      <alignment horizontal="center" vertical="top" wrapText="1"/>
    </xf>
    <xf numFmtId="188" fontId="95" fillId="6" borderId="10" xfId="4" applyNumberFormat="1" applyFont="1" applyFill="1" applyBorder="1" applyAlignment="1">
      <alignment vertical="center" wrapText="1"/>
    </xf>
    <xf numFmtId="188" fontId="95" fillId="6" borderId="10" xfId="1" applyNumberFormat="1" applyFont="1" applyFill="1" applyBorder="1" applyAlignment="1">
      <alignment vertical="center" wrapText="1"/>
    </xf>
    <xf numFmtId="0" fontId="94" fillId="6" borderId="10" xfId="0" applyFont="1" applyFill="1" applyBorder="1" applyAlignment="1">
      <alignment horizontal="center" vertical="center"/>
    </xf>
    <xf numFmtId="0" fontId="94" fillId="0" borderId="1" xfId="0" applyFont="1" applyBorder="1" applyAlignment="1">
      <alignment vertical="top"/>
    </xf>
    <xf numFmtId="0" fontId="95" fillId="0" borderId="1" xfId="0" applyFont="1" applyBorder="1" applyAlignment="1">
      <alignment vertical="top" wrapText="1"/>
    </xf>
    <xf numFmtId="0" fontId="95" fillId="0" borderId="11" xfId="0" applyFont="1" applyBorder="1" applyAlignment="1">
      <alignment horizontal="center" vertical="top" wrapText="1"/>
    </xf>
    <xf numFmtId="0" fontId="95" fillId="0" borderId="5" xfId="0" applyFont="1" applyBorder="1" applyAlignment="1">
      <alignment horizontal="left" vertical="top" wrapText="1"/>
    </xf>
    <xf numFmtId="188" fontId="95" fillId="2" borderId="5" xfId="4" applyNumberFormat="1" applyFont="1" applyFill="1" applyBorder="1" applyAlignment="1">
      <alignment horizontal="center" vertical="top" wrapText="1"/>
    </xf>
    <xf numFmtId="188" fontId="95" fillId="0" borderId="5" xfId="1" applyNumberFormat="1" applyFont="1" applyFill="1" applyBorder="1" applyAlignment="1">
      <alignment horizontal="center" vertical="top" textRotation="90" wrapText="1"/>
    </xf>
    <xf numFmtId="188" fontId="94" fillId="2" borderId="5" xfId="1" applyNumberFormat="1" applyFont="1" applyFill="1" applyBorder="1" applyAlignment="1">
      <alignment vertical="top" textRotation="90"/>
    </xf>
    <xf numFmtId="0" fontId="94" fillId="0" borderId="0" xfId="0" applyFont="1" applyAlignment="1">
      <alignment vertical="top"/>
    </xf>
    <xf numFmtId="0" fontId="94" fillId="0" borderId="6" xfId="0" applyFont="1" applyBorder="1" applyAlignment="1">
      <alignment vertical="top"/>
    </xf>
    <xf numFmtId="0" fontId="95" fillId="0" borderId="10" xfId="0" applyFont="1" applyBorder="1" applyAlignment="1">
      <alignment vertical="top" wrapText="1"/>
    </xf>
    <xf numFmtId="0" fontId="95" fillId="0" borderId="6" xfId="0" applyFont="1" applyBorder="1" applyAlignment="1">
      <alignment vertical="top" wrapText="1"/>
    </xf>
    <xf numFmtId="188" fontId="94" fillId="2" borderId="10" xfId="1" applyNumberFormat="1" applyFont="1" applyFill="1" applyBorder="1" applyAlignment="1">
      <alignment vertical="top" textRotation="90"/>
    </xf>
    <xf numFmtId="0" fontId="94" fillId="0" borderId="10" xfId="0" applyFont="1" applyBorder="1" applyAlignment="1">
      <alignment vertical="top"/>
    </xf>
    <xf numFmtId="188" fontId="95" fillId="0" borderId="10" xfId="1" applyNumberFormat="1" applyFont="1" applyFill="1" applyBorder="1" applyAlignment="1">
      <alignment horizontal="center" vertical="top" textRotation="90" wrapText="1"/>
    </xf>
    <xf numFmtId="0" fontId="135" fillId="0" borderId="1" xfId="0" applyFont="1" applyBorder="1" applyAlignment="1">
      <alignment vertical="top" wrapText="1"/>
    </xf>
    <xf numFmtId="0" fontId="135" fillId="0" borderId="5" xfId="0" applyFont="1" applyBorder="1" applyAlignment="1">
      <alignment horizontal="center" vertical="top" wrapText="1"/>
    </xf>
    <xf numFmtId="0" fontId="135" fillId="0" borderId="0" xfId="0" applyFont="1" applyAlignment="1">
      <alignment vertical="top"/>
    </xf>
    <xf numFmtId="0" fontId="135" fillId="0" borderId="11" xfId="0" applyFont="1" applyBorder="1" applyAlignment="1">
      <alignment horizontal="center" vertical="top" wrapText="1"/>
    </xf>
    <xf numFmtId="0" fontId="135" fillId="0" borderId="5" xfId="0" applyFont="1" applyBorder="1" applyAlignment="1">
      <alignment horizontal="left" vertical="top" wrapText="1"/>
    </xf>
    <xf numFmtId="188" fontId="135" fillId="0" borderId="5" xfId="1" applyNumberFormat="1" applyFont="1" applyFill="1" applyBorder="1" applyAlignment="1">
      <alignment horizontal="center" vertical="top" wrapText="1"/>
    </xf>
    <xf numFmtId="0" fontId="94" fillId="0" borderId="5" xfId="0" applyFont="1" applyBorder="1" applyAlignment="1">
      <alignment vertical="top"/>
    </xf>
    <xf numFmtId="0" fontId="135" fillId="0" borderId="10" xfId="0" applyFont="1" applyBorder="1" applyAlignment="1">
      <alignment vertical="top" wrapText="1"/>
    </xf>
    <xf numFmtId="188" fontId="94" fillId="2" borderId="10" xfId="1" applyNumberFormat="1" applyFont="1" applyFill="1" applyBorder="1" applyAlignment="1">
      <alignment horizontal="center" textRotation="90"/>
    </xf>
    <xf numFmtId="0" fontId="136" fillId="6" borderId="5" xfId="0" applyFont="1" applyFill="1" applyBorder="1" applyAlignment="1">
      <alignment horizontal="center" vertical="top" wrapText="1"/>
    </xf>
    <xf numFmtId="0" fontId="136" fillId="6" borderId="5" xfId="0" applyFont="1" applyFill="1" applyBorder="1" applyAlignment="1">
      <alignment horizontal="left" vertical="top"/>
    </xf>
    <xf numFmtId="0" fontId="136" fillId="6" borderId="5" xfId="0" applyFont="1" applyFill="1" applyBorder="1" applyAlignment="1">
      <alignment horizontal="left" vertical="top" wrapText="1"/>
    </xf>
    <xf numFmtId="0" fontId="136" fillId="6" borderId="11" xfId="0" applyFont="1" applyFill="1" applyBorder="1" applyAlignment="1">
      <alignment horizontal="center" vertical="top" wrapText="1"/>
    </xf>
    <xf numFmtId="188" fontId="94" fillId="6" borderId="5" xfId="1" applyNumberFormat="1" applyFont="1" applyFill="1" applyBorder="1" applyAlignment="1">
      <alignment vertical="top" wrapText="1"/>
    </xf>
    <xf numFmtId="188" fontId="94" fillId="6" borderId="5" xfId="4" applyNumberFormat="1" applyFont="1" applyFill="1" applyBorder="1" applyAlignment="1">
      <alignment vertical="top"/>
    </xf>
    <xf numFmtId="0" fontId="136" fillId="0" borderId="6" xfId="0" applyFont="1" applyBorder="1" applyAlignment="1">
      <alignment horizontal="center" vertical="top" wrapText="1"/>
    </xf>
    <xf numFmtId="0" fontId="136" fillId="0" borderId="1" xfId="0" applyFont="1" applyBorder="1" applyAlignment="1">
      <alignment vertical="top" wrapText="1"/>
    </xf>
    <xf numFmtId="0" fontId="136" fillId="0" borderId="34" xfId="0" applyFont="1" applyBorder="1" applyAlignment="1">
      <alignment horizontal="center" vertical="top" wrapText="1"/>
    </xf>
    <xf numFmtId="0" fontId="136" fillId="0" borderId="5" xfId="0" applyFont="1" applyBorder="1" applyAlignment="1">
      <alignment horizontal="left" vertical="top" wrapText="1"/>
    </xf>
    <xf numFmtId="188" fontId="136" fillId="0" borderId="5" xfId="1" applyNumberFormat="1" applyFont="1" applyBorder="1" applyAlignment="1">
      <alignment vertical="top" wrapText="1"/>
    </xf>
    <xf numFmtId="188" fontId="136" fillId="0" borderId="5" xfId="0" applyNumberFormat="1" applyFont="1" applyBorder="1" applyAlignment="1">
      <alignment vertical="top" wrapText="1"/>
    </xf>
    <xf numFmtId="188" fontId="94" fillId="2" borderId="5" xfId="1" applyNumberFormat="1" applyFont="1" applyFill="1" applyBorder="1" applyAlignment="1">
      <alignment vertical="top" textRotation="90" wrapText="1"/>
    </xf>
    <xf numFmtId="188" fontId="136" fillId="0" borderId="5" xfId="1" applyNumberFormat="1" applyFont="1" applyBorder="1" applyAlignment="1">
      <alignment vertical="top" textRotation="90" wrapText="1"/>
    </xf>
    <xf numFmtId="0" fontId="94" fillId="2" borderId="5" xfId="0" applyFont="1" applyFill="1" applyBorder="1" applyAlignment="1">
      <alignment vertical="top" wrapText="1"/>
    </xf>
    <xf numFmtId="0" fontId="136" fillId="0" borderId="6" xfId="0" applyFont="1" applyBorder="1" applyAlignment="1">
      <alignment vertical="top" wrapText="1"/>
    </xf>
    <xf numFmtId="0" fontId="136" fillId="0" borderId="1" xfId="0" applyFont="1" applyBorder="1" applyAlignment="1">
      <alignment horizontal="left" vertical="top" wrapText="1"/>
    </xf>
    <xf numFmtId="188" fontId="136" fillId="0" borderId="10" xfId="1" applyNumberFormat="1" applyFont="1" applyBorder="1" applyAlignment="1">
      <alignment vertical="top" wrapText="1"/>
    </xf>
    <xf numFmtId="188" fontId="136" fillId="0" borderId="6" xfId="0" applyNumberFormat="1" applyFont="1" applyBorder="1" applyAlignment="1">
      <alignment vertical="top" wrapText="1"/>
    </xf>
    <xf numFmtId="188" fontId="94" fillId="2" borderId="10" xfId="1" applyNumberFormat="1" applyFont="1" applyFill="1" applyBorder="1" applyAlignment="1">
      <alignment vertical="top" textRotation="90" wrapText="1"/>
    </xf>
    <xf numFmtId="188" fontId="136" fillId="0" borderId="10" xfId="1" applyNumberFormat="1" applyFont="1" applyBorder="1" applyAlignment="1">
      <alignment vertical="top" textRotation="90" wrapText="1"/>
    </xf>
    <xf numFmtId="0" fontId="94" fillId="2" borderId="10" xfId="0" applyFont="1" applyFill="1" applyBorder="1" applyAlignment="1">
      <alignment vertical="top" wrapText="1"/>
    </xf>
    <xf numFmtId="0" fontId="94" fillId="6" borderId="5" xfId="0" applyFont="1" applyFill="1" applyBorder="1" applyAlignment="1">
      <alignment horizontal="center" vertical="top"/>
    </xf>
    <xf numFmtId="0" fontId="94" fillId="6" borderId="5" xfId="0" applyFont="1" applyFill="1" applyBorder="1" applyAlignment="1">
      <alignment horizontal="left" vertical="top"/>
    </xf>
    <xf numFmtId="0" fontId="94" fillId="6" borderId="5" xfId="0" applyFont="1" applyFill="1" applyBorder="1" applyAlignment="1">
      <alignment horizontal="left" vertical="top" wrapText="1"/>
    </xf>
    <xf numFmtId="0" fontId="94" fillId="6" borderId="5" xfId="0" applyFont="1" applyFill="1" applyBorder="1" applyAlignment="1">
      <alignment horizontal="center" vertical="top" wrapText="1"/>
    </xf>
    <xf numFmtId="188" fontId="94" fillId="6" borderId="10" xfId="1" applyNumberFormat="1" applyFont="1" applyFill="1" applyBorder="1" applyAlignment="1">
      <alignment vertical="top" wrapText="1"/>
    </xf>
    <xf numFmtId="188" fontId="94" fillId="6" borderId="6" xfId="4" applyNumberFormat="1" applyFont="1" applyFill="1" applyBorder="1" applyAlignment="1">
      <alignment vertical="top"/>
    </xf>
    <xf numFmtId="188" fontId="94" fillId="6" borderId="10" xfId="1" applyNumberFormat="1" applyFont="1" applyFill="1" applyBorder="1" applyAlignment="1">
      <alignment vertical="top" textRotation="90" wrapText="1"/>
    </xf>
    <xf numFmtId="0" fontId="136" fillId="0" borderId="5" xfId="0" applyFont="1" applyBorder="1" applyAlignment="1">
      <alignment vertical="top" wrapText="1"/>
    </xf>
    <xf numFmtId="0" fontId="136" fillId="0" borderId="5" xfId="0" applyFont="1" applyBorder="1" applyAlignment="1">
      <alignment horizontal="center" vertical="top" wrapText="1"/>
    </xf>
    <xf numFmtId="188" fontId="136" fillId="0" borderId="5" xfId="1" applyNumberFormat="1" applyFont="1" applyFill="1" applyBorder="1" applyAlignment="1">
      <alignment vertical="top" wrapText="1"/>
    </xf>
    <xf numFmtId="188" fontId="94" fillId="0" borderId="5" xfId="1" applyNumberFormat="1" applyFont="1" applyFill="1" applyBorder="1" applyAlignment="1">
      <alignment textRotation="90"/>
    </xf>
    <xf numFmtId="0" fontId="136" fillId="0" borderId="10" xfId="0" applyFont="1" applyBorder="1" applyAlignment="1">
      <alignment vertical="top" wrapText="1"/>
    </xf>
    <xf numFmtId="0" fontId="136" fillId="0" borderId="10" xfId="0" applyFont="1" applyBorder="1" applyAlignment="1">
      <alignment horizontal="center" vertical="top" wrapText="1"/>
    </xf>
    <xf numFmtId="0" fontId="136" fillId="0" borderId="10" xfId="0" applyFont="1" applyBorder="1" applyAlignment="1">
      <alignment horizontal="left" vertical="top" wrapText="1"/>
    </xf>
    <xf numFmtId="188" fontId="94" fillId="0" borderId="5" xfId="1" applyNumberFormat="1" applyFont="1" applyFill="1" applyBorder="1" applyAlignment="1">
      <alignment vertical="top" textRotation="90"/>
    </xf>
    <xf numFmtId="188" fontId="94" fillId="0" borderId="10" xfId="1" applyNumberFormat="1" applyFont="1" applyFill="1" applyBorder="1" applyAlignment="1">
      <alignment textRotation="90"/>
    </xf>
    <xf numFmtId="188" fontId="94" fillId="0" borderId="10" xfId="1" applyNumberFormat="1" applyFont="1" applyFill="1" applyBorder="1" applyAlignment="1">
      <alignment vertical="top" textRotation="90"/>
    </xf>
    <xf numFmtId="0" fontId="136" fillId="0" borderId="2" xfId="0" applyFont="1" applyBorder="1" applyAlignment="1">
      <alignment vertical="top" wrapText="1"/>
    </xf>
    <xf numFmtId="0" fontId="136" fillId="0" borderId="6" xfId="0" applyFont="1" applyBorder="1" applyAlignment="1">
      <alignment horizontal="left" vertical="top" wrapText="1"/>
    </xf>
    <xf numFmtId="188" fontId="136" fillId="0" borderId="6" xfId="1" applyNumberFormat="1" applyFont="1" applyFill="1" applyBorder="1" applyAlignment="1">
      <alignment vertical="top" wrapText="1"/>
    </xf>
    <xf numFmtId="188" fontId="136" fillId="0" borderId="10" xfId="0" applyNumberFormat="1" applyFont="1" applyBorder="1" applyAlignment="1">
      <alignment vertical="top" wrapText="1"/>
    </xf>
    <xf numFmtId="0" fontId="94" fillId="6" borderId="5" xfId="0" applyFont="1" applyFill="1" applyBorder="1" applyAlignment="1">
      <alignment vertical="top"/>
    </xf>
    <xf numFmtId="0" fontId="136" fillId="6" borderId="5" xfId="0" applyFont="1" applyFill="1" applyBorder="1" applyAlignment="1">
      <alignment vertical="top"/>
    </xf>
    <xf numFmtId="0" fontId="136" fillId="6" borderId="5" xfId="0" applyFont="1" applyFill="1" applyBorder="1" applyAlignment="1">
      <alignment vertical="top" wrapText="1"/>
    </xf>
    <xf numFmtId="0" fontId="136" fillId="6" borderId="11" xfId="0" applyFont="1" applyFill="1" applyBorder="1" applyAlignment="1">
      <alignment vertical="top" wrapText="1"/>
    </xf>
    <xf numFmtId="188" fontId="94" fillId="6" borderId="5" xfId="1" applyNumberFormat="1" applyFont="1" applyFill="1" applyBorder="1" applyAlignment="1">
      <alignment vertical="top" textRotation="90"/>
    </xf>
    <xf numFmtId="188" fontId="136" fillId="0" borderId="5" xfId="1" applyNumberFormat="1" applyFont="1" applyFill="1" applyBorder="1" applyAlignment="1">
      <alignment vertical="top" textRotation="90" wrapText="1"/>
    </xf>
    <xf numFmtId="0" fontId="95" fillId="0" borderId="5" xfId="0" applyFont="1" applyBorder="1" applyAlignment="1">
      <alignment vertical="top" wrapText="1"/>
    </xf>
    <xf numFmtId="0" fontId="94" fillId="6" borderId="0" xfId="0" applyFont="1" applyFill="1"/>
    <xf numFmtId="0" fontId="136" fillId="6" borderId="10" xfId="0" applyFont="1" applyFill="1" applyBorder="1" applyAlignment="1">
      <alignment horizontal="center" vertical="top" wrapText="1"/>
    </xf>
    <xf numFmtId="0" fontId="136" fillId="6" borderId="10" xfId="0" applyFont="1" applyFill="1" applyBorder="1" applyAlignment="1">
      <alignment horizontal="left" vertical="top"/>
    </xf>
    <xf numFmtId="0" fontId="136" fillId="6" borderId="10" xfId="0" applyFont="1" applyFill="1" applyBorder="1" applyAlignment="1">
      <alignment horizontal="left" vertical="top" wrapText="1"/>
    </xf>
    <xf numFmtId="0" fontId="136" fillId="6" borderId="7" xfId="0" applyFont="1" applyFill="1" applyBorder="1" applyAlignment="1">
      <alignment horizontal="center" vertical="top" wrapText="1"/>
    </xf>
    <xf numFmtId="188" fontId="136" fillId="6" borderId="10" xfId="1" applyNumberFormat="1" applyFont="1" applyFill="1" applyBorder="1" applyAlignment="1">
      <alignment vertical="top" wrapText="1"/>
    </xf>
    <xf numFmtId="188" fontId="94" fillId="6" borderId="10" xfId="4" applyNumberFormat="1" applyFont="1" applyFill="1" applyBorder="1" applyAlignment="1">
      <alignment vertical="top"/>
    </xf>
    <xf numFmtId="188" fontId="94" fillId="6" borderId="10" xfId="1" applyNumberFormat="1" applyFont="1" applyFill="1" applyBorder="1" applyAlignment="1">
      <alignment vertical="top" textRotation="90"/>
    </xf>
    <xf numFmtId="0" fontId="136" fillId="0" borderId="1" xfId="0" applyFont="1" applyBorder="1" applyAlignment="1">
      <alignment horizontal="center" vertical="top" wrapText="1"/>
    </xf>
    <xf numFmtId="0" fontId="136" fillId="0" borderId="2" xfId="0" applyFont="1" applyBorder="1" applyAlignment="1">
      <alignment horizontal="center" vertical="top" wrapText="1"/>
    </xf>
    <xf numFmtId="0" fontId="136" fillId="0" borderId="0" xfId="0" applyFont="1" applyAlignment="1">
      <alignment horizontal="center" vertical="top" wrapText="1"/>
    </xf>
    <xf numFmtId="0" fontId="136" fillId="0" borderId="11" xfId="0" applyFont="1" applyBorder="1" applyAlignment="1">
      <alignment horizontal="center" vertical="top" wrapText="1"/>
    </xf>
    <xf numFmtId="0" fontId="95" fillId="6" borderId="5" xfId="0" applyFont="1" applyFill="1" applyBorder="1" applyAlignment="1">
      <alignment horizontal="left" vertical="top"/>
    </xf>
    <xf numFmtId="0" fontId="95" fillId="6" borderId="5" xfId="0" applyFont="1" applyFill="1" applyBorder="1" applyAlignment="1">
      <alignment horizontal="left" vertical="top" wrapText="1"/>
    </xf>
    <xf numFmtId="0" fontId="95" fillId="6" borderId="5" xfId="0" applyFont="1" applyFill="1" applyBorder="1" applyAlignment="1">
      <alignment vertical="top" wrapText="1"/>
    </xf>
    <xf numFmtId="0" fontId="95" fillId="6" borderId="5" xfId="0" applyFont="1" applyFill="1" applyBorder="1" applyAlignment="1">
      <alignment horizontal="center" vertical="top" wrapText="1"/>
    </xf>
    <xf numFmtId="0" fontId="95" fillId="6" borderId="11" xfId="0" applyFont="1" applyFill="1" applyBorder="1" applyAlignment="1">
      <alignment horizontal="center" vertical="top" wrapText="1"/>
    </xf>
    <xf numFmtId="188" fontId="95" fillId="6" borderId="5" xfId="1" applyNumberFormat="1" applyFont="1" applyFill="1" applyBorder="1" applyAlignment="1">
      <alignment horizontal="center" vertical="top" wrapText="1"/>
    </xf>
    <xf numFmtId="188" fontId="94" fillId="6" borderId="5" xfId="1" applyNumberFormat="1" applyFont="1" applyFill="1" applyBorder="1" applyAlignment="1">
      <alignment vertical="top"/>
    </xf>
    <xf numFmtId="0" fontId="94" fillId="9" borderId="0" xfId="0" applyFont="1" applyFill="1"/>
    <xf numFmtId="188" fontId="95" fillId="0" borderId="5" xfId="4" applyNumberFormat="1" applyFont="1" applyFill="1" applyBorder="1" applyAlignment="1">
      <alignment horizontal="center" vertical="top" wrapText="1"/>
    </xf>
    <xf numFmtId="188" fontId="94" fillId="0" borderId="5" xfId="1" applyNumberFormat="1" applyFont="1" applyFill="1" applyBorder="1" applyAlignment="1">
      <alignment vertical="top" textRotation="90" wrapText="1"/>
    </xf>
    <xf numFmtId="0" fontId="94" fillId="6" borderId="11" xfId="0" applyFont="1" applyFill="1" applyBorder="1" applyAlignment="1">
      <alignment vertical="top"/>
    </xf>
    <xf numFmtId="0" fontId="94" fillId="0" borderId="5" xfId="0" applyFont="1" applyBorder="1" applyAlignment="1">
      <alignment vertical="top" wrapText="1"/>
    </xf>
    <xf numFmtId="0" fontId="94" fillId="0" borderId="11" xfId="0" applyFont="1" applyBorder="1" applyAlignment="1">
      <alignment vertical="top"/>
    </xf>
    <xf numFmtId="188" fontId="94" fillId="0" borderId="5" xfId="1" applyNumberFormat="1" applyFont="1" applyFill="1" applyBorder="1" applyAlignment="1">
      <alignment vertical="top"/>
    </xf>
    <xf numFmtId="188" fontId="94" fillId="0" borderId="5" xfId="4" applyNumberFormat="1" applyFont="1" applyFill="1" applyBorder="1" applyAlignment="1">
      <alignment vertical="top"/>
    </xf>
    <xf numFmtId="0" fontId="94" fillId="0" borderId="13" xfId="0" applyFont="1" applyBorder="1" applyAlignment="1">
      <alignment vertical="top"/>
    </xf>
    <xf numFmtId="0" fontId="94" fillId="0" borderId="11" xfId="0" applyFont="1" applyBorder="1" applyAlignment="1">
      <alignment vertical="top" wrapText="1"/>
    </xf>
    <xf numFmtId="0" fontId="94" fillId="0" borderId="13" xfId="0" applyFont="1" applyBorder="1" applyAlignment="1">
      <alignment vertical="top" wrapText="1"/>
    </xf>
    <xf numFmtId="0" fontId="135" fillId="0" borderId="5" xfId="0" applyFont="1" applyBorder="1" applyAlignment="1">
      <alignment vertical="top" wrapText="1"/>
    </xf>
    <xf numFmtId="188" fontId="135" fillId="0" borderId="5" xfId="1" applyNumberFormat="1" applyFont="1" applyFill="1" applyBorder="1" applyAlignment="1">
      <alignment vertical="top"/>
    </xf>
    <xf numFmtId="188" fontId="135" fillId="0" borderId="5" xfId="1" applyNumberFormat="1" applyFont="1" applyBorder="1" applyAlignment="1">
      <alignment vertical="top" wrapText="1"/>
    </xf>
    <xf numFmtId="0" fontId="135" fillId="0" borderId="1" xfId="0" applyFont="1" applyBorder="1" applyAlignment="1">
      <alignment horizontal="left" vertical="top" wrapText="1"/>
    </xf>
    <xf numFmtId="0" fontId="94" fillId="6" borderId="5" xfId="0" applyFont="1" applyFill="1" applyBorder="1" applyAlignment="1">
      <alignment vertical="top" wrapText="1"/>
    </xf>
    <xf numFmtId="188" fontId="94" fillId="6" borderId="5" xfId="0" applyNumberFormat="1" applyFont="1" applyFill="1" applyBorder="1" applyAlignment="1">
      <alignment vertical="top"/>
    </xf>
    <xf numFmtId="188" fontId="94" fillId="0" borderId="5" xfId="0" applyNumberFormat="1" applyFont="1" applyBorder="1" applyAlignment="1">
      <alignment vertical="top"/>
    </xf>
    <xf numFmtId="188" fontId="94" fillId="0" borderId="0" xfId="1" applyNumberFormat="1" applyFont="1" applyFill="1" applyAlignment="1">
      <alignment vertical="top"/>
    </xf>
    <xf numFmtId="188" fontId="94" fillId="0" borderId="0" xfId="0" applyNumberFormat="1" applyFont="1" applyAlignment="1">
      <alignment vertical="top"/>
    </xf>
    <xf numFmtId="188" fontId="94" fillId="0" borderId="0" xfId="1" applyNumberFormat="1" applyFont="1" applyFill="1" applyAlignment="1">
      <alignment vertical="top" textRotation="90"/>
    </xf>
    <xf numFmtId="0" fontId="94" fillId="6" borderId="10" xfId="0" applyFont="1" applyFill="1" applyBorder="1" applyAlignment="1">
      <alignment horizontal="center" vertical="top"/>
    </xf>
    <xf numFmtId="188" fontId="94" fillId="0" borderId="1" xfId="4" applyNumberFormat="1" applyFont="1" applyFill="1" applyBorder="1" applyAlignment="1">
      <alignment vertical="top"/>
    </xf>
    <xf numFmtId="188" fontId="94" fillId="0" borderId="5" xfId="4" applyNumberFormat="1" applyFont="1" applyFill="1" applyBorder="1" applyAlignment="1">
      <alignment vertical="top" wrapText="1"/>
    </xf>
    <xf numFmtId="188" fontId="94" fillId="0" borderId="6" xfId="4" applyNumberFormat="1" applyFont="1" applyFill="1" applyBorder="1" applyAlignment="1">
      <alignment vertical="top"/>
    </xf>
    <xf numFmtId="188" fontId="94" fillId="0" borderId="10" xfId="4" applyNumberFormat="1" applyFont="1" applyFill="1" applyBorder="1" applyAlignment="1">
      <alignment vertical="top"/>
    </xf>
    <xf numFmtId="0" fontId="94" fillId="6" borderId="0" xfId="0" applyFont="1" applyFill="1" applyAlignment="1">
      <alignment vertical="top"/>
    </xf>
    <xf numFmtId="188" fontId="94" fillId="6" borderId="0" xfId="1" applyNumberFormat="1" applyFont="1" applyFill="1" applyAlignment="1">
      <alignment vertical="top"/>
    </xf>
    <xf numFmtId="188" fontId="94" fillId="6" borderId="0" xfId="1" applyNumberFormat="1" applyFont="1" applyFill="1" applyAlignment="1">
      <alignment vertical="top" textRotation="90"/>
    </xf>
    <xf numFmtId="188" fontId="135" fillId="0" borderId="5" xfId="1" applyNumberFormat="1" applyFont="1" applyBorder="1" applyAlignment="1">
      <alignment vertical="top"/>
    </xf>
    <xf numFmtId="188" fontId="94" fillId="0" borderId="5" xfId="1" applyNumberFormat="1" applyFont="1" applyBorder="1" applyAlignment="1">
      <alignment vertical="top" textRotation="90"/>
    </xf>
    <xf numFmtId="188" fontId="94" fillId="0" borderId="5" xfId="1" applyNumberFormat="1" applyFont="1" applyBorder="1" applyAlignment="1">
      <alignment vertical="center"/>
    </xf>
    <xf numFmtId="0" fontId="94" fillId="0" borderId="5" xfId="0" applyFont="1" applyBorder="1" applyAlignment="1">
      <alignment vertical="center"/>
    </xf>
    <xf numFmtId="188" fontId="94" fillId="0" borderId="5" xfId="1" applyNumberFormat="1" applyFont="1" applyBorder="1" applyAlignment="1">
      <alignment vertical="center" textRotation="90"/>
    </xf>
    <xf numFmtId="3" fontId="94" fillId="2" borderId="5" xfId="1" applyNumberFormat="1" applyFont="1" applyFill="1" applyBorder="1" applyAlignment="1">
      <alignment horizontal="right" vertical="top" wrapText="1"/>
    </xf>
    <xf numFmtId="3" fontId="94" fillId="2" borderId="5" xfId="1" applyNumberFormat="1" applyFont="1" applyFill="1" applyBorder="1" applyAlignment="1">
      <alignment horizontal="right" vertical="top"/>
    </xf>
    <xf numFmtId="0" fontId="94" fillId="2" borderId="5" xfId="0" applyFont="1" applyFill="1" applyBorder="1" applyAlignment="1">
      <alignment horizontal="center" vertical="top" wrapText="1"/>
    </xf>
    <xf numFmtId="3" fontId="94" fillId="6" borderId="5" xfId="1" applyNumberFormat="1" applyFont="1" applyFill="1" applyBorder="1" applyAlignment="1">
      <alignment horizontal="right" vertical="top"/>
    </xf>
    <xf numFmtId="3" fontId="95" fillId="6" borderId="5" xfId="0" applyNumberFormat="1" applyFont="1" applyFill="1" applyBorder="1" applyAlignment="1">
      <alignment vertical="center" wrapText="1"/>
    </xf>
    <xf numFmtId="3" fontId="95" fillId="6" borderId="5" xfId="0" applyNumberFormat="1" applyFont="1" applyFill="1" applyBorder="1" applyAlignment="1">
      <alignment horizontal="right" vertical="top" wrapText="1"/>
    </xf>
    <xf numFmtId="0" fontId="94" fillId="0" borderId="5" xfId="0" applyFont="1" applyBorder="1" applyAlignment="1">
      <alignment wrapText="1"/>
    </xf>
    <xf numFmtId="188" fontId="94" fillId="0" borderId="5" xfId="1" applyNumberFormat="1" applyFont="1" applyBorder="1" applyAlignment="1">
      <alignment vertical="top"/>
    </xf>
    <xf numFmtId="0" fontId="19" fillId="6" borderId="5" xfId="0" applyFont="1" applyFill="1" applyBorder="1" applyAlignment="1">
      <alignment horizontal="center" vertical="top"/>
    </xf>
    <xf numFmtId="0" fontId="19" fillId="6" borderId="5" xfId="0" applyFont="1" applyFill="1" applyBorder="1" applyAlignment="1">
      <alignment vertical="top"/>
    </xf>
    <xf numFmtId="188" fontId="19" fillId="6" borderId="5" xfId="1" applyNumberFormat="1" applyFont="1" applyFill="1" applyBorder="1" applyAlignment="1">
      <alignment vertical="top"/>
    </xf>
    <xf numFmtId="0" fontId="67" fillId="2" borderId="5" xfId="0" applyFont="1" applyFill="1" applyBorder="1" applyAlignment="1">
      <alignment horizontal="center" vertical="top" wrapText="1"/>
    </xf>
    <xf numFmtId="0" fontId="20" fillId="2" borderId="5" xfId="0" applyFont="1" applyFill="1" applyBorder="1" applyAlignment="1">
      <alignment vertical="top"/>
    </xf>
    <xf numFmtId="0" fontId="69" fillId="0" borderId="5" xfId="2" applyFont="1" applyBorder="1" applyAlignment="1">
      <alignment vertical="top" wrapText="1"/>
    </xf>
    <xf numFmtId="188" fontId="67" fillId="2" borderId="5" xfId="1" applyNumberFormat="1" applyFont="1" applyFill="1" applyBorder="1" applyAlignment="1">
      <alignment horizontal="center" vertical="top" wrapText="1"/>
    </xf>
    <xf numFmtId="188" fontId="69" fillId="2" borderId="5" xfId="1" applyNumberFormat="1" applyFont="1" applyFill="1" applyBorder="1" applyAlignment="1">
      <alignment horizontal="center" vertical="top" wrapText="1"/>
    </xf>
    <xf numFmtId="0" fontId="20" fillId="2" borderId="6" xfId="0" applyFont="1" applyFill="1" applyBorder="1" applyAlignment="1">
      <alignment horizontal="center" vertical="top"/>
    </xf>
    <xf numFmtId="0" fontId="69" fillId="0" borderId="5" xfId="2" applyFont="1" applyBorder="1" applyAlignment="1">
      <alignment horizontal="left" vertical="top" wrapText="1"/>
    </xf>
    <xf numFmtId="188" fontId="19" fillId="2" borderId="5" xfId="1" applyNumberFormat="1" applyFont="1" applyFill="1" applyBorder="1" applyAlignment="1">
      <alignment vertical="top" wrapText="1"/>
    </xf>
    <xf numFmtId="188" fontId="20" fillId="2" borderId="5" xfId="1" applyNumberFormat="1" applyFont="1" applyFill="1" applyBorder="1" applyAlignment="1">
      <alignment vertical="top"/>
    </xf>
    <xf numFmtId="0" fontId="20" fillId="0" borderId="1" xfId="0" applyFont="1" applyBorder="1" applyAlignment="1">
      <alignment horizontal="center"/>
    </xf>
    <xf numFmtId="0" fontId="141" fillId="0" borderId="5" xfId="0" applyFont="1" applyBorder="1" applyAlignment="1">
      <alignment horizontal="justify" vertical="top"/>
    </xf>
    <xf numFmtId="188" fontId="20" fillId="0" borderId="11" xfId="1" applyNumberFormat="1" applyFont="1" applyBorder="1" applyAlignment="1">
      <alignment horizontal="center" vertical="top"/>
    </xf>
    <xf numFmtId="0" fontId="20" fillId="0" borderId="5" xfId="0" applyFont="1" applyBorder="1" applyAlignment="1">
      <alignment horizontal="justify" vertical="center"/>
    </xf>
    <xf numFmtId="188" fontId="19" fillId="2" borderId="5" xfId="1" applyNumberFormat="1" applyFont="1" applyFill="1" applyBorder="1" applyAlignment="1">
      <alignment vertical="top"/>
    </xf>
    <xf numFmtId="188" fontId="20" fillId="2" borderId="5" xfId="1" applyNumberFormat="1" applyFont="1" applyFill="1" applyBorder="1" applyAlignment="1">
      <alignment vertical="top" wrapText="1"/>
    </xf>
    <xf numFmtId="0" fontId="20" fillId="2" borderId="5" xfId="0" applyFont="1" applyFill="1" applyBorder="1" applyAlignment="1">
      <alignment vertical="top" wrapText="1"/>
    </xf>
    <xf numFmtId="0" fontId="141" fillId="0" borderId="5" xfId="0" applyFont="1" applyBorder="1" applyAlignment="1">
      <alignment horizontal="justify" vertical="center"/>
    </xf>
    <xf numFmtId="188" fontId="20" fillId="0" borderId="5" xfId="1" applyNumberFormat="1" applyFont="1" applyBorder="1" applyAlignment="1">
      <alignment horizontal="center" vertical="top"/>
    </xf>
    <xf numFmtId="188" fontId="20" fillId="2" borderId="5" xfId="1" applyNumberFormat="1" applyFont="1" applyFill="1" applyBorder="1" applyAlignment="1">
      <alignment horizontal="right" vertical="top"/>
    </xf>
    <xf numFmtId="0" fontId="20" fillId="0" borderId="1" xfId="2" applyFont="1" applyBorder="1" applyAlignment="1">
      <alignment vertical="top" wrapText="1"/>
    </xf>
    <xf numFmtId="0" fontId="67" fillId="0" borderId="1" xfId="2" applyFont="1" applyBorder="1" applyAlignment="1">
      <alignment vertical="top" wrapText="1"/>
    </xf>
    <xf numFmtId="0" fontId="69" fillId="2" borderId="5" xfId="0" applyFont="1" applyFill="1" applyBorder="1" applyAlignment="1">
      <alignment horizontal="center" vertical="top" wrapText="1"/>
    </xf>
    <xf numFmtId="0" fontId="20" fillId="0" borderId="5" xfId="2" applyFont="1" applyBorder="1" applyAlignment="1">
      <alignment vertical="top" wrapText="1"/>
    </xf>
    <xf numFmtId="0" fontId="67" fillId="0" borderId="5" xfId="2" applyFont="1" applyBorder="1" applyAlignment="1">
      <alignment vertical="top" wrapText="1"/>
    </xf>
    <xf numFmtId="0" fontId="25" fillId="0" borderId="0" xfId="0" applyFont="1" applyAlignment="1">
      <alignment horizontal="left"/>
    </xf>
    <xf numFmtId="0" fontId="25" fillId="0" borderId="0" xfId="0" applyFont="1" applyAlignment="1">
      <alignment horizontal="center"/>
    </xf>
    <xf numFmtId="0" fontId="26" fillId="0" borderId="10" xfId="0" applyFont="1" applyBorder="1" applyAlignment="1">
      <alignment horizontal="center" vertical="top" wrapText="1"/>
    </xf>
    <xf numFmtId="0" fontId="25" fillId="2" borderId="1" xfId="0" applyFont="1" applyFill="1" applyBorder="1" applyAlignment="1">
      <alignment vertical="top"/>
    </xf>
    <xf numFmtId="188" fontId="90" fillId="2" borderId="5" xfId="1" applyNumberFormat="1" applyFont="1" applyFill="1" applyBorder="1" applyAlignment="1">
      <alignment horizontal="center" vertical="top" wrapText="1"/>
    </xf>
    <xf numFmtId="0" fontId="25" fillId="0" borderId="5" xfId="0" applyFont="1" applyBorder="1" applyAlignment="1">
      <alignment horizontal="left" vertical="top" wrapText="1"/>
    </xf>
    <xf numFmtId="188" fontId="25" fillId="0" borderId="5" xfId="1" applyNumberFormat="1" applyFont="1" applyBorder="1" applyAlignment="1">
      <alignment horizontal="center" vertical="top" wrapText="1"/>
    </xf>
    <xf numFmtId="3" fontId="25" fillId="0" borderId="5" xfId="0" applyNumberFormat="1" applyFont="1" applyBorder="1" applyAlignment="1">
      <alignment horizontal="center" vertical="top" wrapText="1"/>
    </xf>
    <xf numFmtId="188" fontId="25" fillId="2" borderId="5" xfId="1" applyNumberFormat="1" applyFont="1" applyFill="1" applyBorder="1" applyAlignment="1">
      <alignment horizontal="left" vertical="top"/>
    </xf>
    <xf numFmtId="0" fontId="25" fillId="0" borderId="5" xfId="0" applyFont="1" applyBorder="1" applyAlignment="1">
      <alignment horizontal="center" vertical="top"/>
    </xf>
    <xf numFmtId="0" fontId="25" fillId="2" borderId="1" xfId="0" applyFont="1" applyFill="1" applyBorder="1" applyAlignment="1">
      <alignment vertical="top" wrapText="1"/>
    </xf>
    <xf numFmtId="49" fontId="26" fillId="2" borderId="1" xfId="0" applyNumberFormat="1" applyFont="1" applyFill="1" applyBorder="1" applyAlignment="1" applyProtection="1">
      <alignment vertical="top" wrapText="1" readingOrder="1"/>
      <protection locked="0"/>
    </xf>
    <xf numFmtId="3" fontId="25" fillId="2" borderId="5" xfId="0" applyNumberFormat="1" applyFont="1" applyFill="1" applyBorder="1" applyAlignment="1">
      <alignment horizontal="center" vertical="top"/>
    </xf>
    <xf numFmtId="188" fontId="25" fillId="2" borderId="1" xfId="4" applyNumberFormat="1" applyFont="1" applyFill="1" applyBorder="1" applyAlignment="1">
      <alignment horizontal="center" vertical="top"/>
    </xf>
    <xf numFmtId="188" fontId="28" fillId="2" borderId="5" xfId="4" applyNumberFormat="1" applyFont="1" applyFill="1" applyBorder="1" applyAlignment="1">
      <alignment vertical="top" wrapText="1"/>
    </xf>
    <xf numFmtId="188" fontId="25" fillId="2" borderId="5" xfId="4" applyNumberFormat="1" applyFont="1" applyFill="1" applyBorder="1" applyAlignment="1">
      <alignment vertical="top" wrapText="1"/>
    </xf>
    <xf numFmtId="188" fontId="70" fillId="2" borderId="5" xfId="4" applyNumberFormat="1" applyFont="1" applyFill="1" applyBorder="1" applyAlignment="1">
      <alignment vertical="top" wrapText="1"/>
    </xf>
    <xf numFmtId="0" fontId="27" fillId="2" borderId="6" xfId="0" applyFont="1" applyFill="1" applyBorder="1" applyAlignment="1">
      <alignment vertical="top" wrapText="1"/>
    </xf>
    <xf numFmtId="0" fontId="25" fillId="2" borderId="6" xfId="0" applyFont="1" applyFill="1" applyBorder="1" applyAlignment="1">
      <alignment vertical="top" wrapText="1"/>
    </xf>
    <xf numFmtId="49" fontId="26" fillId="2" borderId="6" xfId="0" applyNumberFormat="1" applyFont="1" applyFill="1" applyBorder="1" applyAlignment="1" applyProtection="1">
      <alignment vertical="top" wrapText="1" readingOrder="1"/>
      <protection locked="0"/>
    </xf>
    <xf numFmtId="0" fontId="25" fillId="2" borderId="6" xfId="0" applyFont="1" applyFill="1" applyBorder="1" applyAlignment="1">
      <alignment vertical="top"/>
    </xf>
    <xf numFmtId="188" fontId="28" fillId="2" borderId="6" xfId="4" applyNumberFormat="1" applyFont="1" applyFill="1" applyBorder="1" applyAlignment="1">
      <alignment vertical="top"/>
    </xf>
    <xf numFmtId="0" fontId="27" fillId="2" borderId="6" xfId="0" applyFont="1" applyFill="1" applyBorder="1" applyAlignment="1">
      <alignment horizontal="left" vertical="top" wrapText="1"/>
    </xf>
    <xf numFmtId="0" fontId="25" fillId="2" borderId="34" xfId="0" applyFont="1" applyFill="1" applyBorder="1" applyAlignment="1">
      <alignment horizontal="left" vertical="top" wrapText="1"/>
    </xf>
    <xf numFmtId="49" fontId="26" fillId="2" borderId="6" xfId="0" applyNumberFormat="1" applyFont="1" applyFill="1" applyBorder="1" applyAlignment="1" applyProtection="1">
      <alignment horizontal="left" vertical="top" wrapText="1" readingOrder="1"/>
      <protection locked="0"/>
    </xf>
    <xf numFmtId="0" fontId="25" fillId="2" borderId="10" xfId="0" applyFont="1" applyFill="1" applyBorder="1" applyAlignment="1">
      <alignment vertical="top" wrapText="1"/>
    </xf>
    <xf numFmtId="0" fontId="25" fillId="2" borderId="10" xfId="0" applyFont="1" applyFill="1" applyBorder="1" applyAlignment="1">
      <alignment vertical="top"/>
    </xf>
    <xf numFmtId="0" fontId="25" fillId="2" borderId="6" xfId="0" applyFont="1" applyFill="1" applyBorder="1" applyAlignment="1">
      <alignment horizontal="center" vertical="top"/>
    </xf>
    <xf numFmtId="3" fontId="37" fillId="2" borderId="5" xfId="0" applyNumberFormat="1" applyFont="1" applyFill="1" applyBorder="1" applyAlignment="1">
      <alignment horizontal="center" vertical="top"/>
    </xf>
    <xf numFmtId="188" fontId="28" fillId="2" borderId="10" xfId="4" applyNumberFormat="1" applyFont="1" applyFill="1" applyBorder="1" applyAlignment="1">
      <alignment vertical="top"/>
    </xf>
    <xf numFmtId="188" fontId="28" fillId="2" borderId="13" xfId="4" applyNumberFormat="1" applyFont="1" applyFill="1" applyBorder="1" applyAlignment="1">
      <alignment vertical="top" wrapText="1"/>
    </xf>
    <xf numFmtId="0" fontId="25" fillId="2" borderId="11" xfId="0" applyFont="1" applyFill="1" applyBorder="1" applyAlignment="1">
      <alignment horizontal="center" vertical="top" wrapText="1"/>
    </xf>
    <xf numFmtId="0" fontId="25" fillId="0" borderId="1" xfId="0" applyFont="1" applyBorder="1" applyAlignment="1">
      <alignment vertical="top" wrapText="1"/>
    </xf>
    <xf numFmtId="0" fontId="25" fillId="2" borderId="1" xfId="0" applyFont="1" applyFill="1" applyBorder="1" applyAlignment="1">
      <alignment horizontal="center" vertical="top" wrapText="1"/>
    </xf>
    <xf numFmtId="188" fontId="25" fillId="0" borderId="5" xfId="4" applyNumberFormat="1" applyFont="1" applyBorder="1" applyAlignment="1">
      <alignment horizontal="center" vertical="top" wrapText="1"/>
    </xf>
    <xf numFmtId="3" fontId="25" fillId="0" borderId="1" xfId="4" applyNumberFormat="1" applyFont="1" applyBorder="1" applyAlignment="1">
      <alignment horizontal="center" vertical="top" wrapText="1"/>
    </xf>
    <xf numFmtId="3" fontId="25" fillId="0" borderId="13" xfId="4" applyNumberFormat="1" applyFont="1" applyBorder="1" applyAlignment="1">
      <alignment horizontal="center" vertical="top" wrapText="1"/>
    </xf>
    <xf numFmtId="3" fontId="25" fillId="0" borderId="5" xfId="4" applyNumberFormat="1" applyFont="1" applyBorder="1" applyAlignment="1">
      <alignment horizontal="center" vertical="top" wrapText="1"/>
    </xf>
    <xf numFmtId="3" fontId="28" fillId="0" borderId="5" xfId="4" applyNumberFormat="1" applyFont="1" applyBorder="1" applyAlignment="1">
      <alignment horizontal="center" vertical="top" wrapText="1"/>
    </xf>
    <xf numFmtId="0" fontId="142" fillId="0" borderId="6" xfId="0" applyFont="1" applyBorder="1" applyAlignment="1">
      <alignment vertical="top" wrapText="1"/>
    </xf>
    <xf numFmtId="0" fontId="25" fillId="0" borderId="6" xfId="0" applyFont="1" applyBorder="1" applyAlignment="1">
      <alignment vertical="top" wrapText="1"/>
    </xf>
    <xf numFmtId="0" fontId="25" fillId="2" borderId="6" xfId="0" applyFont="1" applyFill="1" applyBorder="1" applyAlignment="1">
      <alignment horizontal="center" vertical="top" wrapText="1"/>
    </xf>
    <xf numFmtId="3" fontId="28" fillId="0" borderId="6" xfId="4" applyNumberFormat="1" applyFont="1" applyBorder="1" applyAlignment="1">
      <alignment vertical="top" wrapText="1"/>
    </xf>
    <xf numFmtId="0" fontId="25" fillId="0" borderId="13" xfId="0" applyFont="1" applyBorder="1" applyAlignment="1">
      <alignment vertical="top"/>
    </xf>
    <xf numFmtId="0" fontId="25" fillId="0" borderId="11" xfId="0" applyFont="1" applyBorder="1" applyAlignment="1">
      <alignment horizontal="center" vertical="top"/>
    </xf>
    <xf numFmtId="43" fontId="26" fillId="0" borderId="13" xfId="4" applyFont="1" applyFill="1" applyBorder="1" applyAlignment="1">
      <alignment vertical="top" wrapText="1"/>
    </xf>
    <xf numFmtId="43" fontId="26" fillId="0" borderId="5" xfId="4" applyFont="1" applyFill="1" applyBorder="1" applyAlignment="1">
      <alignment vertical="top" wrapText="1"/>
    </xf>
    <xf numFmtId="188" fontId="26" fillId="0" borderId="5" xfId="0" applyNumberFormat="1" applyFont="1" applyBorder="1" applyAlignment="1">
      <alignment horizontal="center" vertical="top" wrapText="1"/>
    </xf>
    <xf numFmtId="188" fontId="25" fillId="0" borderId="5" xfId="0" applyNumberFormat="1" applyFont="1" applyBorder="1" applyAlignment="1">
      <alignment horizontal="center" vertical="top" wrapText="1"/>
    </xf>
    <xf numFmtId="0" fontId="25" fillId="0" borderId="35" xfId="0" applyFont="1" applyBorder="1" applyAlignment="1">
      <alignment vertical="top" wrapText="1"/>
    </xf>
    <xf numFmtId="0" fontId="25" fillId="0" borderId="1" xfId="0" applyFont="1" applyBorder="1" applyAlignment="1">
      <alignment horizontal="left" vertical="top" wrapText="1"/>
    </xf>
    <xf numFmtId="188" fontId="25" fillId="0" borderId="1" xfId="4" applyNumberFormat="1" applyFont="1" applyBorder="1" applyAlignment="1">
      <alignment horizontal="center" vertical="top" wrapText="1"/>
    </xf>
    <xf numFmtId="43" fontId="26" fillId="0" borderId="4" xfId="4" applyFont="1" applyFill="1" applyBorder="1" applyAlignment="1">
      <alignment vertical="top" wrapText="1"/>
    </xf>
    <xf numFmtId="43" fontId="26" fillId="2" borderId="1" xfId="4" applyFont="1" applyFill="1" applyBorder="1" applyAlignment="1">
      <alignment vertical="top" wrapText="1"/>
    </xf>
    <xf numFmtId="43" fontId="26" fillId="0" borderId="1" xfId="4" applyFont="1" applyFill="1" applyBorder="1" applyAlignment="1">
      <alignment vertical="top" wrapText="1"/>
    </xf>
    <xf numFmtId="188" fontId="26" fillId="0" borderId="1" xfId="0" applyNumberFormat="1" applyFont="1" applyBorder="1" applyAlignment="1">
      <alignment horizontal="center" vertical="top" wrapText="1"/>
    </xf>
    <xf numFmtId="188" fontId="25" fillId="0" borderId="1" xfId="0" applyNumberFormat="1" applyFont="1" applyBorder="1" applyAlignment="1">
      <alignment horizontal="center" vertical="top" wrapText="1"/>
    </xf>
    <xf numFmtId="0" fontId="25" fillId="2" borderId="34" xfId="0" applyFont="1" applyFill="1" applyBorder="1" applyAlignment="1">
      <alignment vertical="top" wrapText="1"/>
    </xf>
    <xf numFmtId="0" fontId="25" fillId="2" borderId="35" xfId="0" applyFont="1" applyFill="1" applyBorder="1" applyAlignment="1">
      <alignment vertical="top" wrapText="1"/>
    </xf>
    <xf numFmtId="0" fontId="37" fillId="0" borderId="4" xfId="0" applyFont="1" applyBorder="1" applyAlignment="1">
      <alignment horizontal="left" vertical="top" wrapText="1"/>
    </xf>
    <xf numFmtId="188" fontId="37" fillId="0" borderId="1" xfId="4" applyNumberFormat="1" applyFont="1" applyBorder="1" applyAlignment="1">
      <alignment horizontal="center" vertical="top" wrapText="1"/>
    </xf>
    <xf numFmtId="188" fontId="26" fillId="0" borderId="2" xfId="0" applyNumberFormat="1" applyFont="1" applyBorder="1" applyAlignment="1">
      <alignment horizontal="center" vertical="top" wrapText="1"/>
    </xf>
    <xf numFmtId="3" fontId="28" fillId="0" borderId="1" xfId="4" applyNumberFormat="1" applyFont="1" applyBorder="1" applyAlignment="1">
      <alignment horizontal="center" vertical="top" wrapText="1"/>
    </xf>
    <xf numFmtId="0" fontId="25" fillId="0" borderId="11" xfId="0" applyFont="1" applyBorder="1" applyAlignment="1">
      <alignment horizontal="center" vertical="top" wrapText="1"/>
    </xf>
    <xf numFmtId="0" fontId="25" fillId="0" borderId="5" xfId="0" applyFont="1" applyBorder="1" applyAlignment="1">
      <alignment horizontal="center" vertical="top" wrapText="1"/>
    </xf>
    <xf numFmtId="3" fontId="25" fillId="0" borderId="11" xfId="0" applyNumberFormat="1" applyFont="1" applyBorder="1" applyAlignment="1">
      <alignment horizontal="center" vertical="top"/>
    </xf>
    <xf numFmtId="188" fontId="25" fillId="2" borderId="1" xfId="0" applyNumberFormat="1" applyFont="1" applyFill="1" applyBorder="1" applyAlignment="1">
      <alignment horizontal="center" vertical="top"/>
    </xf>
    <xf numFmtId="0" fontId="25" fillId="0" borderId="13" xfId="0" applyFont="1" applyBorder="1"/>
    <xf numFmtId="3" fontId="25" fillId="0" borderId="5" xfId="0" applyNumberFormat="1" applyFont="1" applyBorder="1" applyAlignment="1">
      <alignment vertical="top"/>
    </xf>
    <xf numFmtId="0" fontId="25" fillId="0" borderId="5" xfId="0" applyFont="1" applyBorder="1" applyAlignment="1">
      <alignment horizontal="center"/>
    </xf>
    <xf numFmtId="188" fontId="25" fillId="0" borderId="11" xfId="4" applyNumberFormat="1" applyFont="1" applyBorder="1" applyAlignment="1">
      <alignment horizontal="center" vertical="top" wrapText="1"/>
    </xf>
    <xf numFmtId="3" fontId="28" fillId="0" borderId="10" xfId="4" applyNumberFormat="1" applyFont="1" applyBorder="1" applyAlignment="1">
      <alignment horizontal="center" vertical="top" wrapText="1"/>
    </xf>
    <xf numFmtId="0" fontId="25" fillId="0" borderId="11" xfId="0" applyFont="1" applyBorder="1" applyAlignment="1">
      <alignment vertical="top" wrapText="1"/>
    </xf>
    <xf numFmtId="3" fontId="25" fillId="0" borderId="14" xfId="0" applyNumberFormat="1" applyFont="1" applyBorder="1" applyAlignment="1">
      <alignment horizontal="center" vertical="top"/>
    </xf>
    <xf numFmtId="3" fontId="28" fillId="0" borderId="1" xfId="0" applyNumberFormat="1" applyFont="1" applyBorder="1" applyAlignment="1">
      <alignment horizontal="center" vertical="top"/>
    </xf>
    <xf numFmtId="3" fontId="25" fillId="0" borderId="5" xfId="0" applyNumberFormat="1" applyFont="1" applyBorder="1" applyAlignment="1">
      <alignment horizontal="center" vertical="top"/>
    </xf>
    <xf numFmtId="0" fontId="25" fillId="0" borderId="11" xfId="0" applyFont="1" applyBorder="1" applyAlignment="1">
      <alignment horizontal="left" vertical="top" wrapText="1"/>
    </xf>
    <xf numFmtId="3" fontId="25" fillId="0" borderId="10" xfId="0" applyNumberFormat="1" applyFont="1" applyBorder="1" applyAlignment="1">
      <alignment horizontal="center" vertical="top"/>
    </xf>
    <xf numFmtId="0" fontId="28" fillId="0" borderId="10" xfId="0" applyFont="1" applyBorder="1" applyAlignment="1">
      <alignment horizontal="center" vertical="top"/>
    </xf>
    <xf numFmtId="0" fontId="25" fillId="0" borderId="1" xfId="0" applyFont="1" applyBorder="1" applyAlignment="1">
      <alignment horizontal="center"/>
    </xf>
    <xf numFmtId="0" fontId="37" fillId="2" borderId="13" xfId="0" applyFont="1" applyFill="1" applyBorder="1" applyAlignment="1">
      <alignment vertical="top" wrapText="1"/>
    </xf>
    <xf numFmtId="3" fontId="37" fillId="0" borderId="10" xfId="0" applyNumberFormat="1" applyFont="1" applyBorder="1" applyAlignment="1">
      <alignment horizontal="center" vertical="top"/>
    </xf>
    <xf numFmtId="0" fontId="26" fillId="0" borderId="12" xfId="0" applyFont="1" applyBorder="1" applyAlignment="1">
      <alignment vertical="top" wrapText="1"/>
    </xf>
    <xf numFmtId="3" fontId="28" fillId="0" borderId="5" xfId="0" applyNumberFormat="1" applyFont="1" applyBorder="1" applyAlignment="1">
      <alignment horizontal="center" vertical="top"/>
    </xf>
    <xf numFmtId="0" fontId="37" fillId="15" borderId="5" xfId="0" applyFont="1" applyFill="1" applyBorder="1" applyAlignment="1">
      <alignment horizontal="center" vertical="top" wrapText="1"/>
    </xf>
    <xf numFmtId="0" fontId="37" fillId="15" borderId="1" xfId="0" applyFont="1" applyFill="1" applyBorder="1" applyAlignment="1">
      <alignment horizontal="center" vertical="top" wrapText="1"/>
    </xf>
    <xf numFmtId="0" fontId="37" fillId="15" borderId="5" xfId="0" applyFont="1" applyFill="1" applyBorder="1" applyAlignment="1">
      <alignment horizontal="center" vertical="top"/>
    </xf>
    <xf numFmtId="188" fontId="25" fillId="2" borderId="5" xfId="1" applyNumberFormat="1" applyFont="1" applyFill="1" applyBorder="1" applyAlignment="1">
      <alignment vertical="top"/>
    </xf>
    <xf numFmtId="0" fontId="142" fillId="0" borderId="10" xfId="0" applyFont="1" applyBorder="1" applyAlignment="1">
      <alignment vertical="top" wrapText="1"/>
    </xf>
    <xf numFmtId="0" fontId="25" fillId="0" borderId="10" xfId="0" applyFont="1" applyBorder="1" applyAlignment="1">
      <alignment vertical="top" wrapText="1"/>
    </xf>
    <xf numFmtId="0" fontId="25" fillId="2" borderId="10" xfId="0" applyFont="1" applyFill="1" applyBorder="1" applyAlignment="1">
      <alignment horizontal="center" vertical="top" wrapText="1"/>
    </xf>
    <xf numFmtId="3" fontId="70" fillId="0" borderId="5" xfId="4" applyNumberFormat="1" applyFont="1" applyBorder="1" applyAlignment="1">
      <alignment horizontal="center" vertical="top" wrapText="1"/>
    </xf>
    <xf numFmtId="3" fontId="25" fillId="0" borderId="10" xfId="4" applyNumberFormat="1" applyFont="1" applyBorder="1" applyAlignment="1">
      <alignment horizontal="center" vertical="top" wrapText="1"/>
    </xf>
    <xf numFmtId="0" fontId="25" fillId="0" borderId="1" xfId="0" applyFont="1" applyBorder="1"/>
    <xf numFmtId="0" fontId="25" fillId="0" borderId="3" xfId="0" applyFont="1" applyBorder="1" applyAlignment="1">
      <alignment vertical="top"/>
    </xf>
    <xf numFmtId="0" fontId="25" fillId="0" borderId="2" xfId="0" applyFont="1" applyBorder="1" applyAlignment="1">
      <alignment vertical="top" wrapText="1"/>
    </xf>
    <xf numFmtId="188" fontId="25" fillId="0" borderId="5" xfId="1" applyNumberFormat="1" applyFont="1" applyBorder="1" applyAlignment="1">
      <alignment vertical="top"/>
    </xf>
    <xf numFmtId="0" fontId="25" fillId="0" borderId="4" xfId="0" applyFont="1" applyBorder="1" applyAlignment="1">
      <alignment horizontal="center"/>
    </xf>
    <xf numFmtId="0" fontId="25" fillId="0" borderId="6" xfId="0" applyFont="1" applyBorder="1"/>
    <xf numFmtId="0" fontId="25" fillId="0" borderId="35" xfId="0" applyFont="1" applyBorder="1"/>
    <xf numFmtId="0" fontId="25" fillId="0" borderId="34" xfId="0" applyFont="1" applyBorder="1"/>
    <xf numFmtId="0" fontId="25" fillId="0" borderId="35" xfId="0" applyFont="1" applyBorder="1" applyAlignment="1">
      <alignment horizontal="center"/>
    </xf>
    <xf numFmtId="3" fontId="28" fillId="0" borderId="1" xfId="0" applyNumberFormat="1" applyFont="1" applyBorder="1" applyAlignment="1">
      <alignment horizontal="center"/>
    </xf>
    <xf numFmtId="3" fontId="25" fillId="0" borderId="1" xfId="0" applyNumberFormat="1" applyFont="1" applyBorder="1"/>
    <xf numFmtId="0" fontId="25" fillId="0" borderId="6" xfId="0" applyFont="1" applyBorder="1" applyAlignment="1">
      <alignment horizontal="center"/>
    </xf>
    <xf numFmtId="0" fontId="25" fillId="0" borderId="10" xfId="0" applyFont="1" applyBorder="1"/>
    <xf numFmtId="0" fontId="25" fillId="0" borderId="8" xfId="0" applyFont="1" applyBorder="1" applyAlignment="1">
      <alignment horizontal="center"/>
    </xf>
    <xf numFmtId="0" fontId="25" fillId="6" borderId="10" xfId="0" applyFont="1" applyFill="1" applyBorder="1" applyAlignment="1">
      <alignment horizontal="center" vertical="center" wrapText="1"/>
    </xf>
    <xf numFmtId="0" fontId="26" fillId="6" borderId="10" xfId="0" applyFont="1" applyFill="1" applyBorder="1" applyAlignment="1">
      <alignment horizontal="left" vertical="center"/>
    </xf>
    <xf numFmtId="0" fontId="26" fillId="6" borderId="1" xfId="0" applyFont="1" applyFill="1" applyBorder="1" applyAlignment="1">
      <alignment horizontal="center" vertical="center" wrapText="1"/>
    </xf>
    <xf numFmtId="0" fontId="25" fillId="6" borderId="5" xfId="0" applyFont="1" applyFill="1" applyBorder="1" applyAlignment="1">
      <alignment horizontal="center" vertical="center"/>
    </xf>
    <xf numFmtId="0" fontId="25" fillId="6" borderId="5" xfId="0" applyFont="1" applyFill="1" applyBorder="1" applyAlignment="1">
      <alignment horizontal="center" vertical="top"/>
    </xf>
    <xf numFmtId="0" fontId="39" fillId="6" borderId="5" xfId="0" applyFont="1" applyFill="1" applyBorder="1" applyAlignment="1">
      <alignment horizontal="left" vertical="top"/>
    </xf>
    <xf numFmtId="0" fontId="26" fillId="6" borderId="5" xfId="0" applyFont="1" applyFill="1" applyBorder="1" applyAlignment="1">
      <alignment horizontal="left" vertical="top" wrapText="1"/>
    </xf>
    <xf numFmtId="0" fontId="26" fillId="6" borderId="1" xfId="0" applyFont="1" applyFill="1" applyBorder="1" applyAlignment="1">
      <alignment horizontal="center" vertical="top" wrapText="1"/>
    </xf>
    <xf numFmtId="0" fontId="25" fillId="6" borderId="5" xfId="0" applyFont="1" applyFill="1" applyBorder="1" applyAlignment="1">
      <alignment horizontal="left" vertical="top" wrapText="1"/>
    </xf>
    <xf numFmtId="188" fontId="25" fillId="6" borderId="5" xfId="1" applyNumberFormat="1" applyFont="1" applyFill="1" applyBorder="1" applyAlignment="1">
      <alignment horizontal="center" vertical="top" wrapText="1"/>
    </xf>
    <xf numFmtId="0" fontId="28" fillId="6" borderId="5" xfId="0" applyFont="1" applyFill="1" applyBorder="1" applyAlignment="1">
      <alignment horizontal="center" vertical="top"/>
    </xf>
    <xf numFmtId="0" fontId="26" fillId="6" borderId="1" xfId="0" applyFont="1" applyFill="1" applyBorder="1" applyAlignment="1">
      <alignment vertical="top"/>
    </xf>
    <xf numFmtId="0" fontId="25" fillId="6" borderId="1" xfId="0" applyFont="1" applyFill="1" applyBorder="1" applyAlignment="1">
      <alignment horizontal="left" vertical="top" wrapText="1"/>
    </xf>
    <xf numFmtId="0" fontId="25" fillId="6" borderId="1" xfId="0" applyFont="1" applyFill="1" applyBorder="1" applyAlignment="1">
      <alignment vertical="top" wrapText="1"/>
    </xf>
    <xf numFmtId="0" fontId="25" fillId="6" borderId="1" xfId="0" applyFont="1" applyFill="1" applyBorder="1" applyAlignment="1">
      <alignment vertical="top"/>
    </xf>
    <xf numFmtId="3" fontId="25" fillId="6" borderId="5" xfId="0" applyNumberFormat="1" applyFont="1" applyFill="1" applyBorder="1" applyAlignment="1">
      <alignment horizontal="center" vertical="top" wrapText="1"/>
    </xf>
    <xf numFmtId="188" fontId="25" fillId="6" borderId="1" xfId="1" applyNumberFormat="1" applyFont="1" applyFill="1" applyBorder="1" applyAlignment="1">
      <alignment horizontal="left" vertical="top"/>
    </xf>
    <xf numFmtId="0" fontId="28" fillId="0" borderId="10" xfId="0" applyFont="1" applyBorder="1" applyAlignment="1">
      <alignment horizontal="left" vertical="top" wrapText="1"/>
    </xf>
    <xf numFmtId="188" fontId="26" fillId="6" borderId="10" xfId="0" applyNumberFormat="1" applyFont="1" applyFill="1" applyBorder="1" applyAlignment="1">
      <alignment horizontal="center" vertical="top" wrapText="1"/>
    </xf>
    <xf numFmtId="0" fontId="39" fillId="6" borderId="1" xfId="0" applyFont="1" applyFill="1" applyBorder="1" applyAlignment="1">
      <alignment vertical="top"/>
    </xf>
    <xf numFmtId="0" fontId="25" fillId="6" borderId="34" xfId="0" applyFont="1" applyFill="1" applyBorder="1" applyAlignment="1">
      <alignment horizontal="left" vertical="top" wrapText="1"/>
    </xf>
    <xf numFmtId="49" fontId="26" fillId="6" borderId="6" xfId="0" applyNumberFormat="1" applyFont="1" applyFill="1" applyBorder="1" applyAlignment="1" applyProtection="1">
      <alignment horizontal="left" vertical="top" wrapText="1" readingOrder="1"/>
      <protection locked="0"/>
    </xf>
    <xf numFmtId="0" fontId="25" fillId="6" borderId="6" xfId="0" applyFont="1" applyFill="1" applyBorder="1" applyAlignment="1">
      <alignment vertical="top" wrapText="1"/>
    </xf>
    <xf numFmtId="0" fontId="25" fillId="6" borderId="0" xfId="0" applyFont="1" applyFill="1" applyAlignment="1">
      <alignment vertical="top"/>
    </xf>
    <xf numFmtId="0" fontId="25" fillId="6" borderId="6" xfId="0" applyFont="1" applyFill="1" applyBorder="1" applyAlignment="1">
      <alignment horizontal="center" vertical="top"/>
    </xf>
    <xf numFmtId="0" fontId="37" fillId="6" borderId="5" xfId="0" applyFont="1" applyFill="1" applyBorder="1" applyAlignment="1">
      <alignment vertical="top" wrapText="1"/>
    </xf>
    <xf numFmtId="3" fontId="37" fillId="6" borderId="5" xfId="0" applyNumberFormat="1" applyFont="1" applyFill="1" applyBorder="1" applyAlignment="1">
      <alignment horizontal="center" vertical="top"/>
    </xf>
    <xf numFmtId="188" fontId="28" fillId="6" borderId="6" xfId="4" applyNumberFormat="1" applyFont="1" applyFill="1" applyBorder="1" applyAlignment="1">
      <alignment vertical="top"/>
    </xf>
    <xf numFmtId="188" fontId="28" fillId="6" borderId="13" xfId="4" applyNumberFormat="1" applyFont="1" applyFill="1" applyBorder="1" applyAlignment="1">
      <alignment vertical="top" wrapText="1"/>
    </xf>
    <xf numFmtId="0" fontId="25" fillId="6" borderId="5" xfId="0" applyFont="1" applyFill="1" applyBorder="1" applyAlignment="1">
      <alignment horizontal="center" vertical="top" wrapText="1"/>
    </xf>
    <xf numFmtId="0" fontId="25" fillId="6" borderId="12" xfId="0" applyFont="1" applyFill="1" applyBorder="1"/>
    <xf numFmtId="188" fontId="25" fillId="6" borderId="5" xfId="4" applyNumberFormat="1" applyFont="1" applyFill="1" applyBorder="1" applyAlignment="1">
      <alignment horizontal="center" vertical="top" wrapText="1"/>
    </xf>
    <xf numFmtId="3" fontId="28" fillId="6" borderId="1" xfId="4" applyNumberFormat="1" applyFont="1" applyFill="1" applyBorder="1" applyAlignment="1">
      <alignment horizontal="center" vertical="top" wrapText="1"/>
    </xf>
    <xf numFmtId="3" fontId="25" fillId="6" borderId="5" xfId="4" applyNumberFormat="1" applyFont="1" applyFill="1" applyBorder="1" applyAlignment="1">
      <alignment horizontal="center" vertical="top" wrapText="1"/>
    </xf>
    <xf numFmtId="0" fontId="25" fillId="6" borderId="1" xfId="0" applyFont="1" applyFill="1" applyBorder="1"/>
    <xf numFmtId="0" fontId="25" fillId="6" borderId="11" xfId="0" applyFont="1" applyFill="1" applyBorder="1" applyAlignment="1">
      <alignment vertical="top" wrapText="1"/>
    </xf>
    <xf numFmtId="188" fontId="25" fillId="6" borderId="0" xfId="4" applyNumberFormat="1" applyFont="1" applyFill="1" applyBorder="1" applyAlignment="1">
      <alignment horizontal="center" vertical="top" wrapText="1"/>
    </xf>
    <xf numFmtId="3" fontId="28" fillId="6" borderId="6" xfId="4" applyNumberFormat="1" applyFont="1" applyFill="1" applyBorder="1" applyAlignment="1">
      <alignment horizontal="center" vertical="top" wrapText="1"/>
    </xf>
    <xf numFmtId="3" fontId="25" fillId="6" borderId="13" xfId="4" applyNumberFormat="1" applyFont="1" applyFill="1" applyBorder="1" applyAlignment="1">
      <alignment horizontal="center" vertical="top" wrapText="1"/>
    </xf>
    <xf numFmtId="0" fontId="37" fillId="6" borderId="12" xfId="0" applyFont="1" applyFill="1" applyBorder="1" applyAlignment="1">
      <alignment vertical="top" wrapText="1"/>
    </xf>
    <xf numFmtId="3" fontId="37" fillId="6" borderId="10" xfId="0" applyNumberFormat="1" applyFont="1" applyFill="1" applyBorder="1" applyAlignment="1">
      <alignment horizontal="center" vertical="top"/>
    </xf>
    <xf numFmtId="3" fontId="28" fillId="6" borderId="6" xfId="0" applyNumberFormat="1" applyFont="1" applyFill="1" applyBorder="1" applyAlignment="1">
      <alignment horizontal="center" vertical="top"/>
    </xf>
    <xf numFmtId="3" fontId="25" fillId="6" borderId="5" xfId="0" applyNumberFormat="1" applyFont="1" applyFill="1" applyBorder="1" applyAlignment="1">
      <alignment horizontal="center" vertical="top"/>
    </xf>
    <xf numFmtId="0" fontId="28" fillId="6" borderId="1" xfId="0" applyFont="1" applyFill="1" applyBorder="1" applyAlignment="1">
      <alignment horizontal="left" vertical="top"/>
    </xf>
    <xf numFmtId="0" fontId="37" fillId="6" borderId="1" xfId="0" applyFont="1" applyFill="1" applyBorder="1" applyAlignment="1">
      <alignment vertical="top" wrapText="1"/>
    </xf>
    <xf numFmtId="0" fontId="37" fillId="6" borderId="1" xfId="0" applyFont="1" applyFill="1" applyBorder="1" applyAlignment="1">
      <alignment horizontal="center" vertical="top" wrapText="1"/>
    </xf>
    <xf numFmtId="0" fontId="37" fillId="6" borderId="1" xfId="0" applyFont="1" applyFill="1" applyBorder="1" applyAlignment="1">
      <alignment horizontal="center" vertical="top"/>
    </xf>
    <xf numFmtId="188" fontId="25" fillId="6" borderId="5" xfId="1" applyNumberFormat="1" applyFont="1" applyFill="1" applyBorder="1" applyAlignment="1">
      <alignment vertical="top"/>
    </xf>
    <xf numFmtId="0" fontId="142" fillId="6" borderId="1" xfId="0" applyFont="1" applyFill="1" applyBorder="1" applyAlignment="1">
      <alignment vertical="top"/>
    </xf>
    <xf numFmtId="0" fontId="25" fillId="6" borderId="6" xfId="0" applyFont="1" applyFill="1" applyBorder="1" applyAlignment="1">
      <alignment horizontal="left" vertical="top" wrapText="1"/>
    </xf>
    <xf numFmtId="0" fontId="25" fillId="6" borderId="6" xfId="0" applyFont="1" applyFill="1" applyBorder="1" applyAlignment="1">
      <alignment horizontal="center"/>
    </xf>
    <xf numFmtId="3" fontId="25" fillId="6" borderId="13" xfId="0" applyNumberFormat="1" applyFont="1" applyFill="1" applyBorder="1" applyAlignment="1">
      <alignment horizontal="center" vertical="top"/>
    </xf>
    <xf numFmtId="0" fontId="25" fillId="6" borderId="6" xfId="0" applyFont="1" applyFill="1" applyBorder="1" applyAlignment="1">
      <alignment horizontal="center" vertical="top" wrapText="1"/>
    </xf>
    <xf numFmtId="188" fontId="25" fillId="6" borderId="11" xfId="4" applyNumberFormat="1" applyFont="1" applyFill="1" applyBorder="1" applyAlignment="1">
      <alignment horizontal="center" vertical="top" wrapText="1"/>
    </xf>
    <xf numFmtId="3" fontId="28" fillId="6" borderId="6" xfId="4" applyNumberFormat="1" applyFont="1" applyFill="1" applyBorder="1" applyAlignment="1">
      <alignment vertical="top" wrapText="1"/>
    </xf>
    <xf numFmtId="43" fontId="26" fillId="6" borderId="13" xfId="4" applyFont="1" applyFill="1" applyBorder="1" applyAlignment="1">
      <alignment vertical="top" wrapText="1"/>
    </xf>
    <xf numFmtId="188" fontId="26" fillId="6" borderId="5" xfId="0" applyNumberFormat="1" applyFont="1" applyFill="1" applyBorder="1" applyAlignment="1">
      <alignment horizontal="center" vertical="top" wrapText="1"/>
    </xf>
    <xf numFmtId="188" fontId="25" fillId="6" borderId="5" xfId="0" applyNumberFormat="1" applyFont="1" applyFill="1" applyBorder="1" applyAlignment="1">
      <alignment horizontal="center" vertical="top" wrapText="1"/>
    </xf>
    <xf numFmtId="0" fontId="25" fillId="6" borderId="4" xfId="0" applyFont="1" applyFill="1" applyBorder="1"/>
    <xf numFmtId="0" fontId="25" fillId="6" borderId="3" xfId="0" applyFont="1" applyFill="1" applyBorder="1" applyAlignment="1">
      <alignment vertical="top"/>
    </xf>
    <xf numFmtId="0" fontId="25" fillId="6" borderId="34" xfId="0" applyFont="1" applyFill="1" applyBorder="1" applyAlignment="1">
      <alignment vertical="top" wrapText="1"/>
    </xf>
    <xf numFmtId="3" fontId="28" fillId="6" borderId="10" xfId="4" applyNumberFormat="1" applyFont="1" applyFill="1" applyBorder="1" applyAlignment="1">
      <alignment horizontal="center" vertical="top" wrapText="1"/>
    </xf>
    <xf numFmtId="188" fontId="25" fillId="6" borderId="4" xfId="0" applyNumberFormat="1" applyFont="1" applyFill="1" applyBorder="1" applyAlignment="1">
      <alignment horizontal="center" vertical="top" wrapText="1"/>
    </xf>
    <xf numFmtId="0" fontId="45" fillId="6" borderId="0" xfId="0" applyFont="1" applyFill="1" applyAlignment="1">
      <alignment horizontal="center"/>
    </xf>
    <xf numFmtId="0" fontId="45" fillId="6" borderId="5" xfId="0" applyFont="1" applyFill="1" applyBorder="1" applyAlignment="1">
      <alignment horizontal="center" vertical="top"/>
    </xf>
    <xf numFmtId="0" fontId="19" fillId="0" borderId="0" xfId="0" applyFont="1"/>
    <xf numFmtId="0" fontId="143" fillId="0" borderId="0" xfId="0" applyFont="1"/>
    <xf numFmtId="0" fontId="66" fillId="0" borderId="0" xfId="0" applyFont="1"/>
    <xf numFmtId="0" fontId="144" fillId="0" borderId="0" xfId="0" applyFont="1" applyAlignment="1">
      <alignment horizontal="center" readingOrder="1"/>
    </xf>
    <xf numFmtId="187" fontId="20" fillId="0" borderId="0" xfId="0" applyNumberFormat="1" applyFont="1"/>
    <xf numFmtId="187" fontId="20" fillId="0" borderId="0" xfId="0" applyNumberFormat="1" applyFont="1" applyAlignment="1">
      <alignment horizontal="center"/>
    </xf>
    <xf numFmtId="0" fontId="20" fillId="2" borderId="0" xfId="0" applyFont="1" applyFill="1"/>
    <xf numFmtId="0" fontId="19" fillId="0" borderId="2" xfId="0" applyFont="1" applyBorder="1"/>
    <xf numFmtId="0" fontId="19" fillId="0" borderId="3" xfId="0" applyFont="1" applyBorder="1"/>
    <xf numFmtId="0" fontId="19" fillId="0" borderId="4" xfId="0" applyFont="1" applyBorder="1"/>
    <xf numFmtId="0" fontId="19" fillId="0" borderId="7" xfId="0" applyFont="1" applyBorder="1"/>
    <xf numFmtId="0" fontId="19" fillId="0" borderId="8" xfId="0" applyFont="1" applyBorder="1"/>
    <xf numFmtId="0" fontId="19" fillId="0" borderId="9" xfId="0" applyFont="1" applyBorder="1"/>
    <xf numFmtId="0" fontId="19" fillId="0" borderId="10" xfId="0" applyFont="1" applyBorder="1"/>
    <xf numFmtId="0" fontId="19" fillId="6" borderId="5" xfId="13" applyNumberFormat="1" applyFont="1" applyFill="1" applyBorder="1" applyAlignment="1">
      <alignment horizontal="center" vertical="center" wrapText="1"/>
    </xf>
    <xf numFmtId="188" fontId="19" fillId="6" borderId="5" xfId="13" applyNumberFormat="1" applyFont="1" applyFill="1" applyBorder="1" applyAlignment="1">
      <alignment horizontal="left" vertical="center"/>
    </xf>
    <xf numFmtId="188" fontId="19" fillId="6" borderId="5" xfId="13" applyNumberFormat="1" applyFont="1" applyFill="1" applyBorder="1" applyAlignment="1">
      <alignment vertical="center" wrapText="1"/>
    </xf>
    <xf numFmtId="188" fontId="19" fillId="6" borderId="5" xfId="13" applyNumberFormat="1" applyFont="1" applyFill="1" applyBorder="1" applyAlignment="1">
      <alignment horizontal="left" vertical="center" wrapText="1"/>
    </xf>
    <xf numFmtId="188" fontId="19" fillId="6" borderId="5" xfId="13" applyNumberFormat="1" applyFont="1" applyFill="1" applyBorder="1" applyAlignment="1">
      <alignment horizontal="center" vertical="top" wrapText="1"/>
    </xf>
    <xf numFmtId="188" fontId="19" fillId="6" borderId="5" xfId="13" applyNumberFormat="1" applyFont="1" applyFill="1" applyBorder="1" applyAlignment="1">
      <alignment horizontal="left" vertical="top" wrapText="1"/>
    </xf>
    <xf numFmtId="188" fontId="20" fillId="6" borderId="5" xfId="13" applyNumberFormat="1" applyFont="1" applyFill="1" applyBorder="1" applyAlignment="1">
      <alignment horizontal="center" vertical="top" wrapText="1"/>
    </xf>
    <xf numFmtId="188" fontId="67" fillId="6" borderId="5" xfId="13" applyNumberFormat="1" applyFont="1" applyFill="1" applyBorder="1" applyAlignment="1">
      <alignment horizontal="center" vertical="top" wrapText="1"/>
    </xf>
    <xf numFmtId="188" fontId="19" fillId="0" borderId="0" xfId="13" applyNumberFormat="1" applyFont="1" applyFill="1" applyBorder="1" applyAlignment="1">
      <alignment horizontal="left" vertical="top" wrapText="1"/>
    </xf>
    <xf numFmtId="188" fontId="19" fillId="0" borderId="5" xfId="13" applyNumberFormat="1" applyFont="1" applyFill="1" applyBorder="1" applyAlignment="1">
      <alignment horizontal="left" vertical="top" wrapText="1"/>
    </xf>
    <xf numFmtId="188" fontId="20" fillId="0" borderId="5" xfId="13" applyNumberFormat="1" applyFont="1" applyFill="1" applyBorder="1" applyAlignment="1">
      <alignment horizontal="center" vertical="top" wrapText="1"/>
    </xf>
    <xf numFmtId="188" fontId="20" fillId="0" borderId="5" xfId="13" applyNumberFormat="1" applyFont="1" applyFill="1" applyBorder="1" applyAlignment="1">
      <alignment horizontal="left" vertical="top" wrapText="1"/>
    </xf>
    <xf numFmtId="0" fontId="20" fillId="0" borderId="10" xfId="0" applyFont="1" applyBorder="1" applyAlignment="1">
      <alignment vertical="top" wrapText="1"/>
    </xf>
    <xf numFmtId="0" fontId="20" fillId="6" borderId="5" xfId="0" applyFont="1" applyFill="1" applyBorder="1" applyAlignment="1">
      <alignment vertical="center"/>
    </xf>
    <xf numFmtId="0" fontId="20" fillId="6" borderId="5" xfId="0" applyFont="1" applyFill="1" applyBorder="1"/>
    <xf numFmtId="188" fontId="19" fillId="6" borderId="5" xfId="0" applyNumberFormat="1" applyFont="1" applyFill="1" applyBorder="1"/>
    <xf numFmtId="0" fontId="20" fillId="2" borderId="5" xfId="0" applyFont="1" applyFill="1" applyBorder="1"/>
    <xf numFmtId="188" fontId="20" fillId="0" borderId="0" xfId="1" applyNumberFormat="1" applyFont="1" applyFill="1" applyAlignment="1">
      <alignment horizontal="left" vertical="top"/>
    </xf>
    <xf numFmtId="188" fontId="20" fillId="0" borderId="0" xfId="1" applyNumberFormat="1" applyFont="1" applyFill="1" applyBorder="1" applyAlignment="1">
      <alignment horizontal="left" vertical="top"/>
    </xf>
    <xf numFmtId="188" fontId="20" fillId="0" borderId="0" xfId="1" applyNumberFormat="1" applyFont="1" applyAlignment="1">
      <alignment horizontal="left" vertical="top"/>
    </xf>
    <xf numFmtId="0" fontId="20" fillId="16" borderId="0" xfId="0" applyFont="1" applyFill="1"/>
    <xf numFmtId="0" fontId="19" fillId="6" borderId="5" xfId="21" applyFont="1" applyFill="1" applyBorder="1" applyAlignment="1">
      <alignment horizontal="center" vertical="top"/>
    </xf>
    <xf numFmtId="0" fontId="67" fillId="6" borderId="5" xfId="21" applyFont="1" applyFill="1" applyBorder="1" applyAlignment="1">
      <alignment horizontal="center" vertical="top" wrapText="1"/>
    </xf>
    <xf numFmtId="188" fontId="67" fillId="6" borderId="5" xfId="17" applyNumberFormat="1" applyFont="1" applyFill="1" applyBorder="1" applyAlignment="1">
      <alignment horizontal="center" vertical="top" wrapText="1"/>
    </xf>
    <xf numFmtId="3" fontId="19" fillId="6" borderId="5" xfId="17" applyNumberFormat="1" applyFont="1" applyFill="1" applyBorder="1" applyAlignment="1">
      <alignment horizontal="center" vertical="top"/>
    </xf>
    <xf numFmtId="0" fontId="19" fillId="6" borderId="5" xfId="21" applyFont="1" applyFill="1" applyBorder="1" applyAlignment="1">
      <alignment vertical="top"/>
    </xf>
    <xf numFmtId="0" fontId="20" fillId="2" borderId="5" xfId="21" applyFont="1" applyFill="1" applyBorder="1" applyAlignment="1">
      <alignment horizontal="center" vertical="top"/>
    </xf>
    <xf numFmtId="0" fontId="69" fillId="2" borderId="5" xfId="21" applyFont="1" applyFill="1" applyBorder="1" applyAlignment="1">
      <alignment horizontal="left" vertical="top" wrapText="1"/>
    </xf>
    <xf numFmtId="0" fontId="69" fillId="2" borderId="5" xfId="21" applyFont="1" applyFill="1" applyBorder="1" applyAlignment="1">
      <alignment horizontal="center" vertical="top" wrapText="1"/>
    </xf>
    <xf numFmtId="0" fontId="69" fillId="2" borderId="13" xfId="21" applyFont="1" applyFill="1" applyBorder="1" applyAlignment="1">
      <alignment horizontal="center" vertical="top" wrapText="1"/>
    </xf>
    <xf numFmtId="188" fontId="69" fillId="2" borderId="5" xfId="17" applyNumberFormat="1" applyFont="1" applyFill="1" applyBorder="1" applyAlignment="1">
      <alignment horizontal="center" vertical="top" wrapText="1"/>
    </xf>
    <xf numFmtId="3" fontId="67" fillId="2" borderId="5" xfId="17" applyNumberFormat="1" applyFont="1" applyFill="1" applyBorder="1" applyAlignment="1">
      <alignment horizontal="center" vertical="top" wrapText="1"/>
    </xf>
    <xf numFmtId="0" fontId="67" fillId="2" borderId="5" xfId="21" applyFont="1" applyFill="1" applyBorder="1" applyAlignment="1">
      <alignment horizontal="center" vertical="top"/>
    </xf>
    <xf numFmtId="0" fontId="69" fillId="0" borderId="5" xfId="21" applyFont="1" applyBorder="1" applyAlignment="1">
      <alignment vertical="top" wrapText="1"/>
    </xf>
    <xf numFmtId="0" fontId="69" fillId="2" borderId="5" xfId="21" applyFont="1" applyFill="1" applyBorder="1" applyAlignment="1">
      <alignment vertical="top" wrapText="1"/>
    </xf>
    <xf numFmtId="3" fontId="67" fillId="2" borderId="5" xfId="21" applyNumberFormat="1" applyFont="1" applyFill="1" applyBorder="1" applyAlignment="1">
      <alignment horizontal="center" vertical="top" wrapText="1"/>
    </xf>
    <xf numFmtId="188" fontId="69" fillId="2" borderId="5" xfId="17" applyNumberFormat="1" applyFont="1" applyFill="1" applyBorder="1" applyAlignment="1">
      <alignment horizontal="center" vertical="center" wrapText="1"/>
    </xf>
    <xf numFmtId="0" fontId="69" fillId="2" borderId="5" xfId="21" applyFont="1" applyFill="1" applyBorder="1" applyAlignment="1">
      <alignment horizontal="center" vertical="top"/>
    </xf>
    <xf numFmtId="0" fontId="20" fillId="2" borderId="5" xfId="21" applyFont="1" applyFill="1" applyBorder="1" applyAlignment="1">
      <alignment vertical="top"/>
    </xf>
    <xf numFmtId="0" fontId="20" fillId="2" borderId="5" xfId="21" applyFont="1" applyFill="1" applyBorder="1" applyAlignment="1">
      <alignment horizontal="left" vertical="top" wrapText="1"/>
    </xf>
    <xf numFmtId="0" fontId="20" fillId="2" borderId="5" xfId="21" applyFont="1" applyFill="1" applyBorder="1" applyAlignment="1">
      <alignment horizontal="center" vertical="top" wrapText="1"/>
    </xf>
    <xf numFmtId="0" fontId="20" fillId="0" borderId="5" xfId="21" applyFont="1" applyBorder="1" applyAlignment="1">
      <alignment vertical="top" wrapText="1"/>
    </xf>
    <xf numFmtId="0" fontId="20" fillId="2" borderId="5" xfId="21" applyFont="1" applyFill="1" applyBorder="1" applyAlignment="1">
      <alignment vertical="top" wrapText="1"/>
    </xf>
    <xf numFmtId="3" fontId="19" fillId="2" borderId="5" xfId="21" applyNumberFormat="1" applyFont="1" applyFill="1" applyBorder="1" applyAlignment="1">
      <alignment horizontal="center" vertical="top" wrapText="1"/>
    </xf>
    <xf numFmtId="188" fontId="20" fillId="2" borderId="5" xfId="21" applyNumberFormat="1" applyFont="1" applyFill="1" applyBorder="1" applyAlignment="1">
      <alignment horizontal="center" vertical="top"/>
    </xf>
    <xf numFmtId="0" fontId="20" fillId="2" borderId="5" xfId="21" quotePrefix="1" applyFont="1" applyFill="1" applyBorder="1" applyAlignment="1">
      <alignment vertical="top" wrapText="1"/>
    </xf>
    <xf numFmtId="0" fontId="69" fillId="2" borderId="5" xfId="21" quotePrefix="1" applyFont="1" applyFill="1" applyBorder="1" applyAlignment="1">
      <alignment horizontal="left" vertical="top" wrapText="1"/>
    </xf>
    <xf numFmtId="0" fontId="20" fillId="6" borderId="5" xfId="0" applyFont="1" applyFill="1" applyBorder="1" applyAlignment="1">
      <alignment vertical="top"/>
    </xf>
    <xf numFmtId="0" fontId="20" fillId="0" borderId="0" xfId="9" applyFont="1"/>
    <xf numFmtId="0" fontId="19" fillId="6" borderId="6" xfId="0" applyFont="1" applyFill="1" applyBorder="1" applyAlignment="1">
      <alignment horizontal="center" vertical="top"/>
    </xf>
    <xf numFmtId="188" fontId="19" fillId="6" borderId="10" xfId="1" applyNumberFormat="1" applyFont="1" applyFill="1" applyBorder="1" applyAlignment="1">
      <alignment vertical="top"/>
    </xf>
    <xf numFmtId="188" fontId="69" fillId="6" borderId="10" xfId="1" applyNumberFormat="1" applyFont="1" applyFill="1" applyBorder="1" applyAlignment="1">
      <alignment horizontal="center" vertical="top" wrapText="1"/>
    </xf>
    <xf numFmtId="188" fontId="67" fillId="6" borderId="10" xfId="1" applyNumberFormat="1" applyFont="1" applyFill="1" applyBorder="1" applyAlignment="1">
      <alignment horizontal="center" vertical="top" wrapText="1"/>
    </xf>
    <xf numFmtId="0" fontId="67" fillId="6" borderId="10" xfId="0" applyFont="1" applyFill="1" applyBorder="1" applyAlignment="1">
      <alignment horizontal="center" vertical="top" wrapText="1"/>
    </xf>
    <xf numFmtId="0" fontId="20" fillId="17" borderId="6" xfId="0" applyFont="1" applyFill="1" applyBorder="1"/>
    <xf numFmtId="0" fontId="19" fillId="17" borderId="9" xfId="0" applyFont="1" applyFill="1" applyBorder="1" applyAlignment="1">
      <alignment wrapText="1"/>
    </xf>
    <xf numFmtId="0" fontId="20" fillId="17" borderId="10" xfId="0" applyFont="1" applyFill="1" applyBorder="1" applyAlignment="1">
      <alignment vertical="top"/>
    </xf>
    <xf numFmtId="0" fontId="20" fillId="17" borderId="10" xfId="0" applyFont="1" applyFill="1" applyBorder="1"/>
    <xf numFmtId="0" fontId="20" fillId="17" borderId="10" xfId="0" applyFont="1" applyFill="1" applyBorder="1" applyAlignment="1">
      <alignment horizontal="center"/>
    </xf>
    <xf numFmtId="3" fontId="145" fillId="17" borderId="10" xfId="0" applyNumberFormat="1" applyFont="1" applyFill="1" applyBorder="1" applyAlignment="1">
      <alignment vertical="top"/>
    </xf>
    <xf numFmtId="0" fontId="20" fillId="17" borderId="10" xfId="0" applyFont="1" applyFill="1" applyBorder="1" applyAlignment="1">
      <alignment textRotation="90"/>
    </xf>
    <xf numFmtId="0" fontId="20" fillId="17" borderId="5" xfId="0" applyFont="1" applyFill="1" applyBorder="1" applyAlignment="1">
      <alignment vertical="top"/>
    </xf>
    <xf numFmtId="0" fontId="20" fillId="17" borderId="0" xfId="0" applyFont="1" applyFill="1"/>
    <xf numFmtId="0" fontId="20" fillId="0" borderId="6" xfId="0" applyFont="1" applyBorder="1"/>
    <xf numFmtId="0" fontId="20" fillId="0" borderId="1" xfId="0" applyFont="1" applyBorder="1" applyAlignment="1">
      <alignment vertical="top"/>
    </xf>
    <xf numFmtId="188" fontId="19" fillId="0" borderId="5" xfId="17" applyNumberFormat="1" applyFont="1" applyFill="1" applyBorder="1" applyAlignment="1">
      <alignment vertical="top" wrapText="1"/>
    </xf>
    <xf numFmtId="188" fontId="20" fillId="0" borderId="5" xfId="17" applyNumberFormat="1" applyFont="1" applyFill="1" applyBorder="1" applyAlignment="1">
      <alignment vertical="top" textRotation="90" wrapText="1"/>
    </xf>
    <xf numFmtId="0" fontId="69" fillId="0" borderId="1" xfId="22" applyFont="1" applyFill="1" applyBorder="1" applyAlignment="1" applyProtection="1">
      <alignment vertical="top" wrapText="1"/>
    </xf>
    <xf numFmtId="188" fontId="69" fillId="0" borderId="5" xfId="1" applyNumberFormat="1" applyFont="1" applyFill="1" applyBorder="1" applyAlignment="1">
      <alignment vertical="top"/>
    </xf>
    <xf numFmtId="0" fontId="69" fillId="0" borderId="10" xfId="22" applyFont="1" applyFill="1" applyBorder="1" applyAlignment="1" applyProtection="1">
      <alignment vertical="top" wrapText="1"/>
    </xf>
    <xf numFmtId="0" fontId="69" fillId="0" borderId="5" xfId="22" applyFont="1" applyFill="1" applyBorder="1" applyAlignment="1" applyProtection="1">
      <alignment vertical="top" wrapText="1"/>
    </xf>
    <xf numFmtId="0" fontId="20" fillId="6" borderId="0" xfId="0" applyFont="1" applyFill="1"/>
    <xf numFmtId="0" fontId="19" fillId="6" borderId="6" xfId="0" applyFont="1" applyFill="1" applyBorder="1" applyAlignment="1">
      <alignment horizontal="center" vertical="center" wrapText="1"/>
    </xf>
    <xf numFmtId="3" fontId="19" fillId="6" borderId="5" xfId="0" applyNumberFormat="1" applyFont="1" applyFill="1" applyBorder="1"/>
    <xf numFmtId="0" fontId="69" fillId="6" borderId="6" xfId="0" applyFont="1" applyFill="1" applyBorder="1" applyAlignment="1">
      <alignment horizontal="center" vertical="top" wrapText="1"/>
    </xf>
    <xf numFmtId="0" fontId="69" fillId="6" borderId="5" xfId="0" applyFont="1" applyFill="1" applyBorder="1" applyAlignment="1">
      <alignment horizontal="center" vertical="center" wrapText="1"/>
    </xf>
    <xf numFmtId="0" fontId="69" fillId="9" borderId="6" xfId="0" applyFont="1" applyFill="1" applyBorder="1" applyAlignment="1">
      <alignment horizontal="center" vertical="top"/>
    </xf>
    <xf numFmtId="0" fontId="69" fillId="9" borderId="5" xfId="0" applyFont="1" applyFill="1" applyBorder="1" applyAlignment="1">
      <alignment vertical="top" wrapText="1"/>
    </xf>
    <xf numFmtId="0" fontId="69" fillId="9" borderId="5" xfId="0" applyFont="1" applyFill="1" applyBorder="1" applyAlignment="1">
      <alignment vertical="top"/>
    </xf>
    <xf numFmtId="3" fontId="67" fillId="9" borderId="5" xfId="0" applyNumberFormat="1" applyFont="1" applyFill="1" applyBorder="1" applyAlignment="1">
      <alignment horizontal="center" vertical="top"/>
    </xf>
    <xf numFmtId="0" fontId="69" fillId="0" borderId="0" xfId="0" applyFont="1"/>
    <xf numFmtId="0" fontId="20" fillId="18" borderId="0" xfId="0" applyFont="1" applyFill="1"/>
    <xf numFmtId="188" fontId="20" fillId="0" borderId="5" xfId="1" applyNumberFormat="1" applyFont="1" applyFill="1" applyBorder="1" applyAlignment="1">
      <alignment vertical="top" wrapText="1"/>
    </xf>
    <xf numFmtId="188" fontId="20" fillId="0" borderId="5" xfId="1" applyNumberFormat="1" applyFont="1" applyFill="1" applyBorder="1" applyAlignment="1">
      <alignment horizontal="center" vertical="top" wrapText="1"/>
    </xf>
    <xf numFmtId="188" fontId="19" fillId="0" borderId="5" xfId="1" applyNumberFormat="1" applyFont="1" applyFill="1" applyBorder="1" applyAlignment="1">
      <alignment vertical="top"/>
    </xf>
    <xf numFmtId="188" fontId="20" fillId="0" borderId="1" xfId="1" applyNumberFormat="1" applyFont="1" applyFill="1" applyBorder="1" applyAlignment="1">
      <alignment vertical="top" wrapText="1"/>
    </xf>
    <xf numFmtId="188" fontId="20" fillId="0" borderId="10" xfId="1" applyNumberFormat="1" applyFont="1" applyFill="1" applyBorder="1" applyAlignment="1">
      <alignment horizontal="left" vertical="top" wrapText="1"/>
    </xf>
    <xf numFmtId="188" fontId="20" fillId="0" borderId="1" xfId="1" applyNumberFormat="1" applyFont="1" applyFill="1" applyBorder="1" applyAlignment="1">
      <alignment horizontal="left" vertical="top" wrapText="1"/>
    </xf>
    <xf numFmtId="188" fontId="20" fillId="0" borderId="1" xfId="1" applyNumberFormat="1" applyFont="1" applyFill="1" applyBorder="1" applyAlignment="1">
      <alignment horizontal="center" vertical="top" wrapText="1"/>
    </xf>
    <xf numFmtId="188" fontId="20" fillId="0" borderId="6" xfId="1" applyNumberFormat="1" applyFont="1" applyFill="1" applyBorder="1" applyAlignment="1">
      <alignment horizontal="center" vertical="top" wrapText="1"/>
    </xf>
    <xf numFmtId="0" fontId="20" fillId="9" borderId="0" xfId="0" applyFont="1" applyFill="1"/>
    <xf numFmtId="0" fontId="69" fillId="2" borderId="6" xfId="0" applyFont="1" applyFill="1" applyBorder="1" applyAlignment="1">
      <alignment horizontal="left" vertical="top" wrapText="1"/>
    </xf>
    <xf numFmtId="0" fontId="69" fillId="2" borderId="5" xfId="0" applyFont="1" applyFill="1" applyBorder="1" applyAlignment="1">
      <alignment vertical="top" wrapText="1"/>
    </xf>
    <xf numFmtId="0" fontId="19" fillId="6" borderId="5" xfId="0" applyFont="1" applyFill="1" applyBorder="1"/>
    <xf numFmtId="0" fontId="67" fillId="6" borderId="5" xfId="0" applyFont="1" applyFill="1" applyBorder="1" applyAlignment="1">
      <alignment vertical="center" wrapText="1"/>
    </xf>
    <xf numFmtId="188" fontId="67" fillId="6" borderId="5" xfId="1" applyNumberFormat="1" applyFont="1" applyFill="1" applyBorder="1" applyAlignment="1">
      <alignment vertical="center" wrapText="1"/>
    </xf>
    <xf numFmtId="188" fontId="67" fillId="6" borderId="5" xfId="0" applyNumberFormat="1" applyFont="1" applyFill="1" applyBorder="1" applyAlignment="1">
      <alignment vertical="center" wrapText="1"/>
    </xf>
    <xf numFmtId="0" fontId="19" fillId="6" borderId="0" xfId="0" applyFont="1" applyFill="1"/>
    <xf numFmtId="0" fontId="19" fillId="17" borderId="0" xfId="0" applyFont="1" applyFill="1"/>
    <xf numFmtId="0" fontId="19" fillId="0" borderId="1" xfId="0" applyFont="1" applyBorder="1" applyAlignment="1">
      <alignment horizontal="center" vertical="top"/>
    </xf>
    <xf numFmtId="0" fontId="69" fillId="0" borderId="1" xfId="0" applyFont="1" applyBorder="1" applyAlignment="1">
      <alignment vertical="center" wrapText="1"/>
    </xf>
    <xf numFmtId="188" fontId="69" fillId="2" borderId="5" xfId="1" applyNumberFormat="1" applyFont="1" applyFill="1" applyBorder="1" applyAlignment="1">
      <alignment horizontal="right" vertical="top" wrapText="1"/>
    </xf>
    <xf numFmtId="0" fontId="20" fillId="2" borderId="1" xfId="0" applyFont="1" applyFill="1" applyBorder="1"/>
    <xf numFmtId="0" fontId="19" fillId="0" borderId="1" xfId="0" applyFont="1" applyBorder="1" applyAlignment="1">
      <alignment vertical="top"/>
    </xf>
    <xf numFmtId="0" fontId="69" fillId="2" borderId="1" xfId="0" applyFont="1" applyFill="1" applyBorder="1" applyAlignment="1">
      <alignment vertical="top" wrapText="1"/>
    </xf>
    <xf numFmtId="188" fontId="69" fillId="2" borderId="1" xfId="1" applyNumberFormat="1" applyFont="1" applyFill="1" applyBorder="1" applyAlignment="1">
      <alignment horizontal="center" vertical="top" wrapText="1"/>
    </xf>
    <xf numFmtId="0" fontId="67" fillId="2" borderId="5" xfId="0" applyFont="1" applyFill="1" applyBorder="1" applyAlignment="1">
      <alignment vertical="top" wrapText="1"/>
    </xf>
    <xf numFmtId="0" fontId="19" fillId="2" borderId="5" xfId="0" applyFont="1" applyFill="1" applyBorder="1" applyAlignment="1">
      <alignment vertical="top"/>
    </xf>
    <xf numFmtId="0" fontId="20" fillId="2" borderId="6" xfId="0" applyFont="1" applyFill="1" applyBorder="1"/>
    <xf numFmtId="0" fontId="19" fillId="0" borderId="6" xfId="0" applyFont="1" applyBorder="1" applyAlignment="1">
      <alignment vertical="top"/>
    </xf>
    <xf numFmtId="0" fontId="20" fillId="2" borderId="10" xfId="0" applyFont="1" applyFill="1" applyBorder="1"/>
    <xf numFmtId="0" fontId="19" fillId="0" borderId="10" xfId="0" applyFont="1" applyBorder="1" applyAlignment="1">
      <alignment vertical="top"/>
    </xf>
    <xf numFmtId="0" fontId="20" fillId="0" borderId="12" xfId="0" applyFont="1" applyBorder="1"/>
    <xf numFmtId="0" fontId="20" fillId="0" borderId="6" xfId="0" applyFont="1" applyBorder="1" applyAlignment="1">
      <alignment vertical="top"/>
    </xf>
    <xf numFmtId="0" fontId="69" fillId="2" borderId="1" xfId="0" applyFont="1" applyFill="1" applyBorder="1" applyAlignment="1">
      <alignment vertical="center" wrapText="1"/>
    </xf>
    <xf numFmtId="188" fontId="69" fillId="2" borderId="6" xfId="1" applyNumberFormat="1" applyFont="1" applyFill="1" applyBorder="1" applyAlignment="1">
      <alignment horizontal="center" vertical="top" wrapText="1"/>
    </xf>
    <xf numFmtId="0" fontId="20" fillId="0" borderId="1" xfId="0" applyFont="1" applyBorder="1"/>
    <xf numFmtId="188" fontId="69" fillId="2" borderId="5" xfId="0" applyNumberFormat="1" applyFont="1" applyFill="1" applyBorder="1" applyAlignment="1">
      <alignment horizontal="left" vertical="top" wrapText="1"/>
    </xf>
    <xf numFmtId="0" fontId="69" fillId="2" borderId="5" xfId="0" applyFont="1" applyFill="1" applyBorder="1" applyAlignment="1">
      <alignment vertical="center" wrapText="1"/>
    </xf>
    <xf numFmtId="0" fontId="20" fillId="0" borderId="13" xfId="0" applyFont="1" applyBorder="1"/>
    <xf numFmtId="188" fontId="19" fillId="2" borderId="10" xfId="1" applyNumberFormat="1" applyFont="1" applyFill="1" applyBorder="1" applyAlignment="1">
      <alignment vertical="top" wrapText="1"/>
    </xf>
    <xf numFmtId="188" fontId="69" fillId="2" borderId="10" xfId="1" applyNumberFormat="1" applyFont="1" applyFill="1" applyBorder="1" applyAlignment="1">
      <alignment horizontal="center" vertical="top" wrapText="1"/>
    </xf>
    <xf numFmtId="188" fontId="19" fillId="0" borderId="10" xfId="1" applyNumberFormat="1" applyFont="1" applyFill="1" applyBorder="1" applyAlignment="1">
      <alignment vertical="top" wrapText="1"/>
    </xf>
    <xf numFmtId="188" fontId="20" fillId="0" borderId="10" xfId="1" applyNumberFormat="1" applyFont="1" applyFill="1" applyBorder="1" applyAlignment="1">
      <alignment vertical="top" wrapText="1"/>
    </xf>
    <xf numFmtId="188" fontId="19" fillId="0" borderId="5" xfId="1" applyNumberFormat="1" applyFont="1" applyFill="1" applyBorder="1" applyAlignment="1">
      <alignment vertical="top" wrapText="1"/>
    </xf>
    <xf numFmtId="0" fontId="20" fillId="2" borderId="10" xfId="0" applyFont="1" applyFill="1" applyBorder="1" applyAlignment="1">
      <alignment horizontal="left" vertical="top" wrapText="1"/>
    </xf>
    <xf numFmtId="0" fontId="69" fillId="2" borderId="5" xfId="0" applyFont="1" applyFill="1" applyBorder="1" applyAlignment="1">
      <alignment horizontal="left" vertical="top" wrapText="1"/>
    </xf>
    <xf numFmtId="0" fontId="69" fillId="2" borderId="5" xfId="0" applyFont="1" applyFill="1" applyBorder="1" applyAlignment="1">
      <alignment horizontal="center" vertical="center" wrapText="1"/>
    </xf>
    <xf numFmtId="188" fontId="20" fillId="2" borderId="11" xfId="1" applyNumberFormat="1" applyFont="1" applyFill="1" applyBorder="1" applyAlignment="1">
      <alignment vertical="top"/>
    </xf>
    <xf numFmtId="0" fontId="19" fillId="2" borderId="5" xfId="0" applyFont="1" applyFill="1" applyBorder="1" applyAlignment="1">
      <alignment horizontal="center" vertical="top"/>
    </xf>
    <xf numFmtId="0" fontId="20" fillId="2" borderId="35" xfId="0" applyFont="1" applyFill="1" applyBorder="1" applyAlignment="1">
      <alignment horizontal="center"/>
    </xf>
    <xf numFmtId="0" fontId="20" fillId="2" borderId="6" xfId="0" applyFont="1" applyFill="1" applyBorder="1" applyAlignment="1">
      <alignment horizontal="center"/>
    </xf>
    <xf numFmtId="0" fontId="69" fillId="2" borderId="6" xfId="0" applyFont="1" applyFill="1" applyBorder="1" applyAlignment="1">
      <alignment horizontal="center" vertical="center" wrapText="1"/>
    </xf>
    <xf numFmtId="0" fontId="19" fillId="0" borderId="6" xfId="0" applyFont="1" applyBorder="1" applyAlignment="1">
      <alignment horizontal="center" vertical="top"/>
    </xf>
    <xf numFmtId="0" fontId="67" fillId="2" borderId="1" xfId="0" applyFont="1" applyFill="1" applyBorder="1" applyAlignment="1">
      <alignment vertical="top" wrapText="1"/>
    </xf>
    <xf numFmtId="0" fontId="67" fillId="2" borderId="10" xfId="0" applyFont="1" applyFill="1" applyBorder="1" applyAlignment="1">
      <alignment vertical="top" wrapText="1"/>
    </xf>
    <xf numFmtId="0" fontId="19" fillId="17" borderId="0" xfId="0" applyFont="1" applyFill="1" applyAlignment="1">
      <alignment horizontal="left"/>
    </xf>
    <xf numFmtId="0" fontId="19" fillId="0" borderId="0" xfId="0" applyFont="1" applyAlignment="1">
      <alignment horizontal="left"/>
    </xf>
    <xf numFmtId="0" fontId="20" fillId="3" borderId="0" xfId="0" applyFont="1" applyFill="1"/>
    <xf numFmtId="0" fontId="147" fillId="0" borderId="0" xfId="0" applyFont="1"/>
    <xf numFmtId="0" fontId="147" fillId="0" borderId="0" xfId="0" applyFont="1" applyAlignment="1">
      <alignment horizontal="center"/>
    </xf>
    <xf numFmtId="188" fontId="148" fillId="17" borderId="0" xfId="0" applyNumberFormat="1" applyFont="1" applyFill="1"/>
    <xf numFmtId="194" fontId="19" fillId="0" borderId="0" xfId="0" applyNumberFormat="1" applyFont="1" applyAlignment="1">
      <alignment vertical="center"/>
    </xf>
    <xf numFmtId="188" fontId="20" fillId="6" borderId="5" xfId="13" applyNumberFormat="1" applyFont="1" applyFill="1" applyBorder="1" applyAlignment="1">
      <alignment horizontal="left" vertical="top" wrapText="1"/>
    </xf>
    <xf numFmtId="0" fontId="20" fillId="6" borderId="5" xfId="9" applyFont="1" applyFill="1" applyBorder="1"/>
    <xf numFmtId="0" fontId="67" fillId="6" borderId="6" xfId="0" applyFont="1" applyFill="1" applyBorder="1" applyAlignment="1">
      <alignment horizontal="center" vertical="top"/>
    </xf>
    <xf numFmtId="0" fontId="67" fillId="6" borderId="6" xfId="0" applyFont="1" applyFill="1" applyBorder="1" applyAlignment="1">
      <alignment vertical="top"/>
    </xf>
    <xf numFmtId="3" fontId="19" fillId="6" borderId="6" xfId="0" applyNumberFormat="1" applyFont="1" applyFill="1" applyBorder="1" applyAlignment="1">
      <alignment horizontal="center" vertical="top"/>
    </xf>
    <xf numFmtId="3" fontId="67" fillId="6" borderId="6" xfId="0" applyNumberFormat="1" applyFont="1" applyFill="1" applyBorder="1" applyAlignment="1">
      <alignment horizontal="center" vertical="top"/>
    </xf>
    <xf numFmtId="3" fontId="67" fillId="6" borderId="5" xfId="0" applyNumberFormat="1" applyFont="1" applyFill="1" applyBorder="1" applyAlignment="1">
      <alignment horizontal="center" vertical="top"/>
    </xf>
    <xf numFmtId="0" fontId="67" fillId="6" borderId="5" xfId="0" applyFont="1" applyFill="1" applyBorder="1" applyAlignment="1">
      <alignment vertical="top"/>
    </xf>
    <xf numFmtId="0" fontId="67" fillId="6" borderId="5" xfId="0" applyFont="1" applyFill="1" applyBorder="1" applyAlignment="1">
      <alignment horizontal="left" vertical="center"/>
    </xf>
    <xf numFmtId="188" fontId="67" fillId="0" borderId="5" xfId="0" applyNumberFormat="1" applyFont="1" applyBorder="1" applyAlignment="1">
      <alignment vertical="center" wrapText="1"/>
    </xf>
    <xf numFmtId="188" fontId="20" fillId="0" borderId="1" xfId="13" applyNumberFormat="1" applyFont="1" applyFill="1" applyBorder="1" applyAlignment="1">
      <alignment vertical="top" wrapText="1"/>
    </xf>
    <xf numFmtId="188" fontId="67" fillId="0" borderId="5" xfId="13" applyNumberFormat="1" applyFont="1" applyFill="1" applyBorder="1" applyAlignment="1">
      <alignment horizontal="center" vertical="top" wrapText="1"/>
    </xf>
    <xf numFmtId="188" fontId="20" fillId="0" borderId="10" xfId="13" applyNumberFormat="1" applyFont="1" applyFill="1" applyBorder="1" applyAlignment="1">
      <alignment vertical="top" wrapText="1"/>
    </xf>
    <xf numFmtId="188" fontId="20" fillId="0" borderId="5" xfId="1" applyNumberFormat="1" applyFont="1" applyFill="1" applyBorder="1" applyAlignment="1">
      <alignment horizontal="left" vertical="top"/>
    </xf>
    <xf numFmtId="0" fontId="20" fillId="0" borderId="1" xfId="0" applyFont="1" applyBorder="1" applyAlignment="1">
      <alignment horizontal="left" vertical="top" wrapText="1"/>
    </xf>
    <xf numFmtId="188" fontId="19" fillId="0" borderId="5" xfId="1" applyNumberFormat="1" applyFont="1" applyFill="1" applyBorder="1" applyAlignment="1">
      <alignment horizontal="center" vertical="top"/>
    </xf>
    <xf numFmtId="188" fontId="20" fillId="0" borderId="11" xfId="1" applyNumberFormat="1" applyFont="1" applyFill="1" applyBorder="1" applyAlignment="1">
      <alignment horizontal="left" vertical="top"/>
    </xf>
    <xf numFmtId="188" fontId="20" fillId="0" borderId="13" xfId="1" applyNumberFormat="1" applyFont="1" applyFill="1" applyBorder="1" applyAlignment="1">
      <alignment horizontal="left" vertical="top"/>
    </xf>
    <xf numFmtId="0" fontId="69" fillId="0" borderId="11" xfId="0" applyFont="1" applyBorder="1" applyAlignment="1">
      <alignment horizontal="left" vertical="top" wrapText="1"/>
    </xf>
    <xf numFmtId="0" fontId="69" fillId="0" borderId="5" xfId="0" applyFont="1" applyBorder="1" applyAlignment="1">
      <alignment horizontal="center" vertical="center" wrapText="1"/>
    </xf>
    <xf numFmtId="0" fontId="69" fillId="0" borderId="13" xfId="0" applyFont="1" applyBorder="1" applyAlignment="1">
      <alignment horizontal="center" vertical="center" wrapText="1"/>
    </xf>
    <xf numFmtId="0" fontId="20" fillId="0" borderId="5" xfId="0" applyFont="1" applyBorder="1" applyAlignment="1">
      <alignment wrapText="1"/>
    </xf>
    <xf numFmtId="0" fontId="20" fillId="0" borderId="13" xfId="0" applyFont="1" applyBorder="1" applyAlignment="1">
      <alignment vertical="top" wrapText="1"/>
    </xf>
    <xf numFmtId="3" fontId="20" fillId="0" borderId="5" xfId="0" applyNumberFormat="1" applyFont="1" applyBorder="1" applyAlignment="1">
      <alignment vertical="top" wrapText="1"/>
    </xf>
    <xf numFmtId="3" fontId="19" fillId="0" borderId="5" xfId="0" applyNumberFormat="1" applyFont="1" applyBorder="1" applyAlignment="1">
      <alignment vertical="top"/>
    </xf>
    <xf numFmtId="0" fontId="20" fillId="0" borderId="5" xfId="0" applyFont="1" applyBorder="1" applyAlignment="1">
      <alignment vertical="top" textRotation="90"/>
    </xf>
    <xf numFmtId="0" fontId="20" fillId="0" borderId="5" xfId="0" applyFont="1" applyBorder="1" applyAlignment="1">
      <alignment vertical="top" textRotation="90" wrapText="1"/>
    </xf>
    <xf numFmtId="3" fontId="20" fillId="0" borderId="5" xfId="0" applyNumberFormat="1" applyFont="1" applyBorder="1" applyAlignment="1">
      <alignment vertical="top" textRotation="90" wrapText="1"/>
    </xf>
    <xf numFmtId="0" fontId="20" fillId="0" borderId="4" xfId="0" applyFont="1" applyBorder="1" applyAlignment="1">
      <alignment vertical="top" wrapText="1"/>
    </xf>
    <xf numFmtId="0" fontId="20" fillId="0" borderId="1" xfId="0" applyFont="1" applyBorder="1" applyAlignment="1">
      <alignment horizontal="center" vertical="top"/>
    </xf>
    <xf numFmtId="3" fontId="20" fillId="0" borderId="1" xfId="0" applyNumberFormat="1" applyFont="1" applyBorder="1" applyAlignment="1">
      <alignment vertical="top" wrapText="1"/>
    </xf>
    <xf numFmtId="3" fontId="19" fillId="0" borderId="1" xfId="0" applyNumberFormat="1" applyFont="1" applyBorder="1" applyAlignment="1">
      <alignment vertical="top"/>
    </xf>
    <xf numFmtId="0" fontId="20" fillId="0" borderId="1" xfId="0" applyFont="1" applyBorder="1" applyAlignment="1">
      <alignment vertical="top" textRotation="90"/>
    </xf>
    <xf numFmtId="3" fontId="20" fillId="0" borderId="1" xfId="0" applyNumberFormat="1" applyFont="1" applyBorder="1" applyAlignment="1">
      <alignment vertical="top" textRotation="90" wrapText="1"/>
    </xf>
    <xf numFmtId="0" fontId="20" fillId="0" borderId="1" xfId="0" applyFont="1" applyBorder="1" applyAlignment="1">
      <alignment vertical="top" textRotation="90" wrapText="1"/>
    </xf>
    <xf numFmtId="0" fontId="20" fillId="0" borderId="3" xfId="0" applyFont="1" applyBorder="1" applyAlignment="1">
      <alignment vertical="top" wrapText="1"/>
    </xf>
    <xf numFmtId="0" fontId="20" fillId="0" borderId="2" xfId="0" applyFont="1" applyBorder="1" applyAlignment="1">
      <alignment vertical="top" wrapText="1"/>
    </xf>
    <xf numFmtId="0" fontId="20" fillId="0" borderId="2" xfId="0" applyFont="1" applyBorder="1" applyAlignment="1">
      <alignment horizontal="center" vertical="top"/>
    </xf>
    <xf numFmtId="3" fontId="20" fillId="0" borderId="2" xfId="0" applyNumberFormat="1" applyFont="1" applyBorder="1" applyAlignment="1">
      <alignment vertical="top" wrapText="1"/>
    </xf>
    <xf numFmtId="0" fontId="20" fillId="0" borderId="2" xfId="0" applyFont="1" applyBorder="1" applyAlignment="1">
      <alignment vertical="top" textRotation="90"/>
    </xf>
    <xf numFmtId="0" fontId="20" fillId="0" borderId="2" xfId="0" applyFont="1" applyBorder="1" applyAlignment="1">
      <alignment vertical="top"/>
    </xf>
    <xf numFmtId="0" fontId="20" fillId="0" borderId="8" xfId="0" applyFont="1" applyBorder="1" applyAlignment="1">
      <alignment vertical="top"/>
    </xf>
    <xf numFmtId="0" fontId="20" fillId="0" borderId="7" xfId="0" applyFont="1" applyBorder="1" applyAlignment="1">
      <alignment vertical="top" wrapText="1"/>
    </xf>
    <xf numFmtId="0" fontId="20" fillId="0" borderId="7" xfId="0" applyFont="1" applyBorder="1" applyAlignment="1">
      <alignment vertical="top"/>
    </xf>
    <xf numFmtId="0" fontId="20" fillId="0" borderId="7" xfId="0" applyFont="1" applyBorder="1" applyAlignment="1">
      <alignment horizontal="center" vertical="top"/>
    </xf>
    <xf numFmtId="3" fontId="20" fillId="0" borderId="7" xfId="0" applyNumberFormat="1" applyFont="1" applyBorder="1" applyAlignment="1">
      <alignment vertical="top"/>
    </xf>
    <xf numFmtId="0" fontId="20" fillId="0" borderId="10" xfId="0" applyFont="1" applyBorder="1" applyAlignment="1">
      <alignment vertical="top" textRotation="90"/>
    </xf>
    <xf numFmtId="0" fontId="20" fillId="0" borderId="7" xfId="0" applyFont="1" applyBorder="1" applyAlignment="1">
      <alignment vertical="top" textRotation="90"/>
    </xf>
    <xf numFmtId="0" fontId="20" fillId="0" borderId="9" xfId="0" applyFont="1" applyBorder="1" applyAlignment="1">
      <alignment vertical="top" wrapText="1"/>
    </xf>
    <xf numFmtId="3" fontId="20" fillId="0" borderId="10" xfId="0" applyNumberFormat="1" applyFont="1" applyBorder="1" applyAlignment="1">
      <alignment vertical="top" textRotation="90"/>
    </xf>
    <xf numFmtId="0" fontId="67" fillId="0" borderId="11" xfId="0" applyFont="1" applyBorder="1" applyAlignment="1">
      <alignment vertical="top" wrapText="1"/>
    </xf>
    <xf numFmtId="0" fontId="104" fillId="0" borderId="4" xfId="0" applyFont="1" applyBorder="1" applyAlignment="1">
      <alignment vertical="top" wrapText="1"/>
    </xf>
    <xf numFmtId="0" fontId="104" fillId="0" borderId="1" xfId="0" applyFont="1" applyBorder="1" applyAlignment="1">
      <alignment horizontal="center" vertical="top"/>
    </xf>
    <xf numFmtId="0" fontId="104" fillId="0" borderId="5" xfId="0" applyFont="1" applyBorder="1" applyAlignment="1">
      <alignment vertical="top" wrapText="1"/>
    </xf>
    <xf numFmtId="3" fontId="145" fillId="0" borderId="5" xfId="0" applyNumberFormat="1" applyFont="1" applyBorder="1" applyAlignment="1">
      <alignment vertical="top"/>
    </xf>
    <xf numFmtId="0" fontId="104" fillId="0" borderId="5" xfId="0" applyFont="1" applyBorder="1" applyAlignment="1">
      <alignment vertical="top" textRotation="90"/>
    </xf>
    <xf numFmtId="3" fontId="104" fillId="0" borderId="5" xfId="0" applyNumberFormat="1" applyFont="1" applyBorder="1" applyAlignment="1">
      <alignment vertical="top" textRotation="90"/>
    </xf>
    <xf numFmtId="0" fontId="104" fillId="0" borderId="5" xfId="0" applyFont="1" applyBorder="1" applyAlignment="1">
      <alignment vertical="top"/>
    </xf>
    <xf numFmtId="0" fontId="69" fillId="0" borderId="3" xfId="0" applyFont="1" applyBorder="1" applyAlignment="1">
      <alignment vertical="top" wrapText="1"/>
    </xf>
    <xf numFmtId="0" fontId="69" fillId="0" borderId="1" xfId="0" applyFont="1" applyBorder="1" applyAlignment="1">
      <alignment horizontal="center" vertical="top"/>
    </xf>
    <xf numFmtId="0" fontId="69" fillId="0" borderId="13" xfId="0" applyFont="1" applyBorder="1" applyAlignment="1">
      <alignment vertical="top" wrapText="1"/>
    </xf>
    <xf numFmtId="3" fontId="69" fillId="0" borderId="5" xfId="0" applyNumberFormat="1" applyFont="1" applyBorder="1" applyAlignment="1">
      <alignment vertical="top" wrapText="1"/>
    </xf>
    <xf numFmtId="3" fontId="67" fillId="0" borderId="5" xfId="0" applyNumberFormat="1" applyFont="1" applyBorder="1" applyAlignment="1">
      <alignment vertical="top"/>
    </xf>
    <xf numFmtId="0" fontId="69" fillId="0" borderId="5" xfId="0" applyFont="1" applyBorder="1" applyAlignment="1">
      <alignment vertical="top" textRotation="90"/>
    </xf>
    <xf numFmtId="3" fontId="69" fillId="0" borderId="5" xfId="0" applyNumberFormat="1" applyFont="1" applyBorder="1" applyAlignment="1">
      <alignment vertical="top" textRotation="90"/>
    </xf>
    <xf numFmtId="0" fontId="69" fillId="0" borderId="5" xfId="0" applyFont="1" applyBorder="1" applyAlignment="1">
      <alignment vertical="top"/>
    </xf>
    <xf numFmtId="0" fontId="69" fillId="0" borderId="8" xfId="0" applyFont="1" applyBorder="1" applyAlignment="1">
      <alignment vertical="top" wrapText="1"/>
    </xf>
    <xf numFmtId="0" fontId="69" fillId="0" borderId="10" xfId="0" applyFont="1" applyBorder="1" applyAlignment="1">
      <alignment horizontal="center" vertical="top"/>
    </xf>
    <xf numFmtId="0" fontId="69" fillId="0" borderId="34" xfId="0" applyFont="1" applyBorder="1" applyAlignment="1">
      <alignment horizontal="left" vertical="top" wrapText="1"/>
    </xf>
    <xf numFmtId="3" fontId="69" fillId="0" borderId="5" xfId="0" applyNumberFormat="1" applyFont="1" applyBorder="1" applyAlignment="1">
      <alignment vertical="top" textRotation="90" wrapText="1"/>
    </xf>
    <xf numFmtId="0" fontId="20" fillId="0" borderId="34" xfId="0" applyFont="1" applyBorder="1"/>
    <xf numFmtId="0" fontId="69" fillId="0" borderId="10" xfId="0" applyFont="1" applyBorder="1" applyAlignment="1">
      <alignment vertical="top" wrapText="1"/>
    </xf>
    <xf numFmtId="3" fontId="69" fillId="0" borderId="5" xfId="0" applyNumberFormat="1" applyFont="1" applyBorder="1" applyAlignment="1">
      <alignment vertical="top"/>
    </xf>
    <xf numFmtId="0" fontId="69" fillId="0" borderId="7" xfId="0" applyFont="1" applyBorder="1" applyAlignment="1">
      <alignment vertical="top" wrapText="1"/>
    </xf>
    <xf numFmtId="0" fontId="104" fillId="0" borderId="10" xfId="0" applyFont="1" applyBorder="1" applyAlignment="1">
      <alignment horizontal="center" vertical="top"/>
    </xf>
    <xf numFmtId="3" fontId="20" fillId="0" borderId="5" xfId="0" applyNumberFormat="1" applyFont="1" applyBorder="1" applyAlignment="1">
      <alignment vertical="top" textRotation="90"/>
    </xf>
    <xf numFmtId="0" fontId="67" fillId="0" borderId="5" xfId="0" applyFont="1" applyBorder="1" applyAlignment="1">
      <alignment vertical="top"/>
    </xf>
    <xf numFmtId="0" fontId="69" fillId="0" borderId="10" xfId="0" applyFont="1" applyBorder="1" applyAlignment="1">
      <alignment vertical="top"/>
    </xf>
    <xf numFmtId="0" fontId="69" fillId="0" borderId="5" xfId="0" applyFont="1" applyBorder="1" applyAlignment="1">
      <alignment horizontal="center" vertical="top"/>
    </xf>
    <xf numFmtId="188" fontId="145" fillId="0" borderId="5" xfId="1" applyNumberFormat="1" applyFont="1" applyFill="1" applyBorder="1" applyAlignment="1">
      <alignment vertical="top"/>
    </xf>
    <xf numFmtId="3" fontId="104" fillId="0" borderId="5" xfId="0" applyNumberFormat="1" applyFont="1" applyBorder="1" applyAlignment="1">
      <alignment vertical="top"/>
    </xf>
    <xf numFmtId="3" fontId="68" fillId="0" borderId="5" xfId="0" applyNumberFormat="1" applyFont="1" applyBorder="1" applyAlignment="1">
      <alignment vertical="top"/>
    </xf>
    <xf numFmtId="0" fontId="20" fillId="0" borderId="10" xfId="0" applyFont="1" applyBorder="1"/>
    <xf numFmtId="0" fontId="20" fillId="0" borderId="5" xfId="0" applyFont="1" applyBorder="1" applyAlignment="1">
      <alignment horizontal="center" vertical="top" wrapText="1"/>
    </xf>
    <xf numFmtId="3" fontId="20" fillId="0" borderId="5" xfId="0" applyNumberFormat="1" applyFont="1" applyBorder="1" applyAlignment="1">
      <alignment horizontal="right" vertical="top" wrapText="1"/>
    </xf>
    <xf numFmtId="188" fontId="19" fillId="0" borderId="5" xfId="17" applyNumberFormat="1" applyFont="1" applyFill="1" applyBorder="1" applyAlignment="1">
      <alignment vertical="top" textRotation="90" wrapText="1"/>
    </xf>
    <xf numFmtId="3" fontId="20" fillId="0" borderId="5" xfId="0" applyNumberFormat="1" applyFont="1" applyBorder="1" applyAlignment="1">
      <alignment horizontal="right" vertical="top" textRotation="90" wrapText="1"/>
    </xf>
    <xf numFmtId="188" fontId="104" fillId="0" borderId="5" xfId="0" applyNumberFormat="1" applyFont="1" applyBorder="1" applyAlignment="1">
      <alignment vertical="top" textRotation="90"/>
    </xf>
    <xf numFmtId="0" fontId="67" fillId="0" borderId="1" xfId="0" applyFont="1" applyBorder="1" applyAlignment="1">
      <alignment vertical="top"/>
    </xf>
    <xf numFmtId="0" fontId="104" fillId="0" borderId="1" xfId="0" applyFont="1" applyBorder="1" applyAlignment="1">
      <alignment vertical="top"/>
    </xf>
    <xf numFmtId="0" fontId="104" fillId="0" borderId="1" xfId="0" applyFont="1" applyBorder="1" applyAlignment="1">
      <alignment vertical="top" wrapText="1"/>
    </xf>
    <xf numFmtId="0" fontId="69" fillId="0" borderId="2" xfId="0" applyFont="1" applyBorder="1" applyAlignment="1">
      <alignment vertical="top" wrapText="1"/>
    </xf>
    <xf numFmtId="0" fontId="69" fillId="0" borderId="10" xfId="0" applyFont="1" applyBorder="1" applyAlignment="1">
      <alignment horizontal="center" vertical="top" wrapText="1"/>
    </xf>
    <xf numFmtId="188" fontId="69" fillId="0" borderId="5" xfId="1" applyNumberFormat="1" applyFont="1" applyFill="1" applyBorder="1" applyAlignment="1">
      <alignment vertical="top" textRotation="90"/>
    </xf>
    <xf numFmtId="0" fontId="104" fillId="0" borderId="5" xfId="0" applyFont="1" applyBorder="1" applyAlignment="1">
      <alignment horizontal="center" vertical="top" wrapText="1"/>
    </xf>
    <xf numFmtId="3" fontId="104" fillId="0" borderId="5" xfId="0" applyNumberFormat="1" applyFont="1" applyBorder="1" applyAlignment="1">
      <alignment vertical="top" wrapText="1"/>
    </xf>
    <xf numFmtId="0" fontId="69" fillId="0" borderId="13" xfId="0" applyFont="1" applyBorder="1" applyAlignment="1">
      <alignment horizontal="center" vertical="top"/>
    </xf>
    <xf numFmtId="188" fontId="69" fillId="0" borderId="5" xfId="0" applyNumberFormat="1" applyFont="1" applyBorder="1" applyAlignment="1">
      <alignment vertical="top" textRotation="90"/>
    </xf>
    <xf numFmtId="3" fontId="20" fillId="0" borderId="5" xfId="0" applyNumberFormat="1" applyFont="1" applyBorder="1" applyAlignment="1">
      <alignment horizontal="center" vertical="top" wrapText="1"/>
    </xf>
    <xf numFmtId="188" fontId="104" fillId="0" borderId="5" xfId="1" applyNumberFormat="1" applyFont="1" applyFill="1" applyBorder="1" applyAlignment="1">
      <alignment vertical="top" wrapText="1"/>
    </xf>
    <xf numFmtId="188" fontId="19" fillId="0" borderId="5" xfId="1" applyNumberFormat="1" applyFont="1" applyFill="1" applyBorder="1" applyAlignment="1">
      <alignment horizontal="center" vertical="top" wrapText="1"/>
    </xf>
    <xf numFmtId="188" fontId="20" fillId="0" borderId="6" xfId="1" applyNumberFormat="1" applyFont="1" applyFill="1" applyBorder="1" applyAlignment="1">
      <alignment vertical="top" wrapText="1"/>
    </xf>
    <xf numFmtId="0" fontId="20" fillId="0" borderId="5" xfId="0" applyFont="1" applyBorder="1" applyAlignment="1">
      <alignment vertical="center"/>
    </xf>
    <xf numFmtId="188" fontId="20" fillId="0" borderId="10" xfId="1" applyNumberFormat="1" applyFont="1" applyFill="1" applyBorder="1" applyAlignment="1">
      <alignment horizontal="center" vertical="top" wrapText="1"/>
    </xf>
    <xf numFmtId="188" fontId="20" fillId="0" borderId="5" xfId="1" applyNumberFormat="1" applyFont="1" applyFill="1" applyBorder="1" applyAlignment="1">
      <alignment horizontal="left" vertical="center" wrapText="1"/>
    </xf>
    <xf numFmtId="0" fontId="104" fillId="0" borderId="6" xfId="0" applyFont="1" applyBorder="1" applyAlignment="1">
      <alignment vertical="top"/>
    </xf>
    <xf numFmtId="3" fontId="69" fillId="0" borderId="5" xfId="0" applyNumberFormat="1" applyFont="1" applyBorder="1" applyAlignment="1">
      <alignment horizontal="center" vertical="top"/>
    </xf>
    <xf numFmtId="188" fontId="69" fillId="0" borderId="5" xfId="1" applyNumberFormat="1" applyFont="1" applyFill="1" applyBorder="1" applyAlignment="1">
      <alignment horizontal="center" vertical="top"/>
    </xf>
    <xf numFmtId="0" fontId="20" fillId="0" borderId="1" xfId="0" applyFont="1" applyBorder="1" applyAlignment="1">
      <alignment horizontal="center" vertical="top" wrapText="1"/>
    </xf>
    <xf numFmtId="3" fontId="20" fillId="0" borderId="1" xfId="0" applyNumberFormat="1" applyFont="1" applyBorder="1" applyAlignment="1">
      <alignment horizontal="center" vertical="top" wrapText="1"/>
    </xf>
    <xf numFmtId="0" fontId="19" fillId="0" borderId="5" xfId="0" applyFont="1" applyBorder="1"/>
    <xf numFmtId="0" fontId="19" fillId="0" borderId="5" xfId="0" applyFont="1" applyBorder="1" applyAlignment="1">
      <alignment horizontal="left" wrapText="1"/>
    </xf>
    <xf numFmtId="188" fontId="19" fillId="0" borderId="5" xfId="0" applyNumberFormat="1" applyFont="1" applyBorder="1"/>
    <xf numFmtId="3" fontId="19" fillId="0" borderId="5" xfId="0" applyNumberFormat="1" applyFont="1" applyBorder="1"/>
    <xf numFmtId="0" fontId="19" fillId="0" borderId="35" xfId="0" applyFont="1" applyBorder="1" applyAlignment="1">
      <alignment horizontal="left"/>
    </xf>
    <xf numFmtId="0" fontId="19" fillId="0" borderId="1" xfId="0" applyFont="1" applyBorder="1"/>
    <xf numFmtId="188" fontId="19" fillId="0" borderId="5" xfId="1" applyNumberFormat="1" applyFont="1" applyFill="1" applyBorder="1"/>
    <xf numFmtId="0" fontId="19" fillId="0" borderId="6" xfId="0" applyFont="1" applyBorder="1"/>
    <xf numFmtId="0" fontId="19" fillId="0" borderId="35" xfId="0" applyFont="1" applyBorder="1"/>
    <xf numFmtId="0" fontId="20" fillId="0" borderId="5" xfId="0" applyFont="1" applyBorder="1" applyAlignment="1">
      <alignment horizontal="left" vertical="center" wrapText="1"/>
    </xf>
    <xf numFmtId="0" fontId="67" fillId="0" borderId="6" xfId="0" applyFont="1" applyBorder="1" applyAlignment="1">
      <alignment horizontal="center" vertical="top" wrapText="1"/>
    </xf>
    <xf numFmtId="0" fontId="69" fillId="0" borderId="9" xfId="0" applyFont="1" applyBorder="1" applyAlignment="1">
      <alignment horizontal="center" vertical="top" wrapText="1"/>
    </xf>
    <xf numFmtId="0" fontId="20" fillId="0" borderId="10" xfId="0" applyFont="1" applyBorder="1" applyAlignment="1">
      <alignment horizontal="center"/>
    </xf>
    <xf numFmtId="0" fontId="20" fillId="0" borderId="9" xfId="0" applyFont="1" applyBorder="1" applyAlignment="1">
      <alignment horizontal="center" vertical="top"/>
    </xf>
    <xf numFmtId="3" fontId="69" fillId="0" borderId="5" xfId="0" applyNumberFormat="1" applyFont="1" applyBorder="1" applyAlignment="1">
      <alignment horizontal="center" vertical="top" wrapText="1"/>
    </xf>
    <xf numFmtId="0" fontId="69" fillId="0" borderId="9" xfId="0" applyFont="1" applyBorder="1" applyAlignment="1">
      <alignment vertical="top" wrapText="1"/>
    </xf>
    <xf numFmtId="0" fontId="20" fillId="0" borderId="6" xfId="0" applyFont="1" applyBorder="1" applyAlignment="1">
      <alignment horizontal="center"/>
    </xf>
    <xf numFmtId="3" fontId="20" fillId="0" borderId="1" xfId="0" applyNumberFormat="1" applyFont="1" applyBorder="1" applyAlignment="1">
      <alignment vertical="top"/>
    </xf>
    <xf numFmtId="0" fontId="69" fillId="0" borderId="1" xfId="0" applyFont="1" applyBorder="1" applyAlignment="1">
      <alignment horizontal="center" vertical="center" wrapText="1"/>
    </xf>
    <xf numFmtId="0" fontId="67" fillId="0" borderId="2" xfId="0" applyFont="1" applyBorder="1" applyAlignment="1">
      <alignment horizontal="center" vertical="top" wrapText="1"/>
    </xf>
    <xf numFmtId="0" fontId="20" fillId="0" borderId="34" xfId="0" applyFont="1" applyBorder="1" applyAlignment="1">
      <alignment horizontal="left" vertical="top" wrapText="1"/>
    </xf>
    <xf numFmtId="0" fontId="69" fillId="0" borderId="6" xfId="0" applyFont="1" applyBorder="1" applyAlignment="1">
      <alignment horizontal="center" vertical="center" wrapText="1"/>
    </xf>
    <xf numFmtId="0" fontId="19" fillId="0" borderId="2" xfId="0" applyFont="1" applyBorder="1" applyAlignment="1">
      <alignment horizontal="left" vertical="top" wrapText="1"/>
    </xf>
    <xf numFmtId="0" fontId="19" fillId="0" borderId="1" xfId="0" applyFont="1" applyBorder="1" applyAlignment="1">
      <alignment vertical="top" wrapText="1"/>
    </xf>
    <xf numFmtId="0" fontId="67" fillId="0" borderId="5" xfId="0" applyFont="1" applyBorder="1" applyAlignment="1">
      <alignment vertical="top" wrapText="1"/>
    </xf>
    <xf numFmtId="188" fontId="19" fillId="0" borderId="1" xfId="1" applyNumberFormat="1" applyFont="1" applyFill="1" applyBorder="1" applyAlignment="1">
      <alignment vertical="top" wrapText="1"/>
    </xf>
    <xf numFmtId="188" fontId="67" fillId="0" borderId="1" xfId="1" applyNumberFormat="1" applyFont="1" applyFill="1" applyBorder="1" applyAlignment="1">
      <alignment horizontal="center" vertical="top" wrapText="1"/>
    </xf>
    <xf numFmtId="0" fontId="19" fillId="0" borderId="5" xfId="0" applyFont="1" applyBorder="1" applyAlignment="1">
      <alignment vertical="top"/>
    </xf>
    <xf numFmtId="0" fontId="19" fillId="0" borderId="5" xfId="0" applyFont="1" applyBorder="1" applyAlignment="1">
      <alignment horizontal="left" vertical="top" wrapText="1"/>
    </xf>
    <xf numFmtId="0" fontId="67" fillId="0" borderId="1" xfId="0" applyFont="1" applyBorder="1" applyAlignment="1">
      <alignment vertical="top" wrapText="1"/>
    </xf>
    <xf numFmtId="0" fontId="20" fillId="0" borderId="6" xfId="0" applyFont="1" applyBorder="1" applyAlignment="1">
      <alignment vertical="top" wrapText="1"/>
    </xf>
    <xf numFmtId="0" fontId="69" fillId="0" borderId="6" xfId="0" applyFont="1" applyBorder="1" applyAlignment="1">
      <alignment vertical="top" wrapText="1"/>
    </xf>
    <xf numFmtId="0" fontId="69" fillId="0" borderId="6" xfId="0" applyFont="1" applyBorder="1" applyAlignment="1">
      <alignment vertical="center" wrapText="1"/>
    </xf>
    <xf numFmtId="0" fontId="67" fillId="0" borderId="6" xfId="0" applyFont="1" applyBorder="1" applyAlignment="1">
      <alignment vertical="top" wrapText="1"/>
    </xf>
    <xf numFmtId="0" fontId="20" fillId="0" borderId="2" xfId="0" applyFont="1" applyBorder="1" applyAlignment="1">
      <alignment horizontal="left" vertical="top" wrapText="1"/>
    </xf>
    <xf numFmtId="0" fontId="67" fillId="0" borderId="1" xfId="0" applyFont="1" applyBorder="1" applyAlignment="1">
      <alignment horizontal="center" vertical="top" wrapText="1"/>
    </xf>
    <xf numFmtId="0" fontId="20" fillId="0" borderId="5" xfId="0" applyFont="1" applyBorder="1" applyAlignment="1">
      <alignment horizontal="left" wrapText="1"/>
    </xf>
    <xf numFmtId="0" fontId="20" fillId="0" borderId="5" xfId="0" applyFont="1" applyBorder="1" applyAlignment="1">
      <alignment horizontal="center" wrapText="1"/>
    </xf>
    <xf numFmtId="0" fontId="19" fillId="0" borderId="5" xfId="0" applyFont="1" applyBorder="1" applyAlignment="1">
      <alignment horizontal="center"/>
    </xf>
    <xf numFmtId="0" fontId="69" fillId="0" borderId="5" xfId="0" applyFont="1" applyBorder="1" applyAlignment="1">
      <alignment horizontal="center" wrapText="1"/>
    </xf>
    <xf numFmtId="188" fontId="20" fillId="6" borderId="5" xfId="0" applyNumberFormat="1" applyFont="1" applyFill="1" applyBorder="1"/>
    <xf numFmtId="0" fontId="67" fillId="6" borderId="11" xfId="0" applyFont="1" applyFill="1" applyBorder="1" applyAlignment="1">
      <alignment horizontal="left" vertical="top"/>
    </xf>
    <xf numFmtId="0" fontId="67" fillId="6" borderId="12" xfId="0" applyFont="1" applyFill="1" applyBorder="1" applyAlignment="1">
      <alignment horizontal="left" vertical="top"/>
    </xf>
    <xf numFmtId="0" fontId="67" fillId="6" borderId="13" xfId="0" applyFont="1" applyFill="1" applyBorder="1" applyAlignment="1">
      <alignment horizontal="left" vertical="top"/>
    </xf>
    <xf numFmtId="0" fontId="150" fillId="0" borderId="0" xfId="0" applyFont="1"/>
    <xf numFmtId="0" fontId="150" fillId="0" borderId="0" xfId="0" applyFont="1" applyAlignment="1">
      <alignment horizontal="left"/>
    </xf>
    <xf numFmtId="0" fontId="152" fillId="0" borderId="0" xfId="0" applyFont="1"/>
    <xf numFmtId="0" fontId="153" fillId="0" borderId="0" xfId="0" applyFont="1"/>
    <xf numFmtId="0" fontId="154" fillId="0" borderId="0" xfId="0" applyFont="1"/>
    <xf numFmtId="0" fontId="155" fillId="0" borderId="0" xfId="0" applyFont="1" applyAlignment="1">
      <alignment horizontal="left" readingOrder="1"/>
    </xf>
    <xf numFmtId="187" fontId="150" fillId="0" borderId="0" xfId="0" applyNumberFormat="1" applyFont="1"/>
    <xf numFmtId="0" fontId="150" fillId="3" borderId="0" xfId="0" applyFont="1" applyFill="1" applyAlignment="1">
      <alignment horizontal="center"/>
    </xf>
    <xf numFmtId="0" fontId="154" fillId="3" borderId="0" xfId="0" applyFont="1" applyFill="1" applyAlignment="1">
      <alignment horizontal="center"/>
    </xf>
    <xf numFmtId="188" fontId="156" fillId="3" borderId="5" xfId="1" applyNumberFormat="1" applyFont="1" applyFill="1" applyBorder="1" applyAlignment="1">
      <alignment horizontal="center" vertical="top" wrapText="1"/>
    </xf>
    <xf numFmtId="0" fontId="157" fillId="0" borderId="5" xfId="0" applyFont="1" applyBorder="1" applyAlignment="1">
      <alignment horizontal="center" vertical="center"/>
    </xf>
    <xf numFmtId="188" fontId="156" fillId="3" borderId="5" xfId="1" applyNumberFormat="1" applyFont="1" applyFill="1" applyBorder="1" applyAlignment="1">
      <alignment horizontal="center"/>
    </xf>
    <xf numFmtId="188" fontId="157" fillId="0" borderId="5" xfId="0" applyNumberFormat="1" applyFont="1" applyBorder="1"/>
    <xf numFmtId="193" fontId="157" fillId="0" borderId="5" xfId="0" applyNumberFormat="1" applyFont="1" applyBorder="1"/>
    <xf numFmtId="0" fontId="157" fillId="0" borderId="5" xfId="0" applyFont="1" applyBorder="1"/>
    <xf numFmtId="0" fontId="150" fillId="0" borderId="0" xfId="0" applyFont="1" applyAlignment="1">
      <alignment horizontal="center"/>
    </xf>
    <xf numFmtId="0" fontId="150" fillId="3" borderId="0" xfId="0" applyFont="1" applyFill="1"/>
    <xf numFmtId="0" fontId="154" fillId="3" borderId="0" xfId="0" applyFont="1" applyFill="1"/>
    <xf numFmtId="188" fontId="154" fillId="3" borderId="0" xfId="1" applyNumberFormat="1" applyFont="1" applyFill="1"/>
    <xf numFmtId="0" fontId="159" fillId="0" borderId="2" xfId="0" applyFont="1" applyBorder="1"/>
    <xf numFmtId="0" fontId="159" fillId="0" borderId="3" xfId="0" applyFont="1" applyBorder="1"/>
    <xf numFmtId="0" fontId="156" fillId="0" borderId="1" xfId="0" applyFont="1" applyBorder="1" applyAlignment="1">
      <alignment horizontal="center" vertical="center" wrapText="1"/>
    </xf>
    <xf numFmtId="0" fontId="156" fillId="0" borderId="2" xfId="0" applyFont="1" applyBorder="1" applyAlignment="1">
      <alignment horizontal="center" vertical="center" wrapText="1"/>
    </xf>
    <xf numFmtId="0" fontId="156" fillId="0" borderId="3" xfId="0" applyFont="1" applyBorder="1" applyAlignment="1">
      <alignment horizontal="center" vertical="center" wrapText="1"/>
    </xf>
    <xf numFmtId="0" fontId="156" fillId="0" borderId="4" xfId="0" applyFont="1" applyBorder="1" applyAlignment="1">
      <alignment horizontal="center" vertical="center" wrapText="1"/>
    </xf>
    <xf numFmtId="0" fontId="156" fillId="0" borderId="2" xfId="0" applyFont="1" applyBorder="1" applyAlignment="1">
      <alignment horizontal="center" vertical="top" wrapText="1"/>
    </xf>
    <xf numFmtId="0" fontId="156" fillId="0" borderId="4" xfId="0" applyFont="1" applyBorder="1" applyAlignment="1">
      <alignment horizontal="center" vertical="top" wrapText="1"/>
    </xf>
    <xf numFmtId="188" fontId="161" fillId="0" borderId="1" xfId="4" applyNumberFormat="1" applyFont="1" applyBorder="1" applyAlignment="1">
      <alignment horizontal="center" vertical="center" wrapText="1"/>
    </xf>
    <xf numFmtId="0" fontId="156" fillId="0" borderId="1" xfId="0" applyFont="1" applyBorder="1" applyAlignment="1">
      <alignment horizontal="center" vertical="top" wrapText="1"/>
    </xf>
    <xf numFmtId="0" fontId="156" fillId="0" borderId="5" xfId="0" applyFont="1" applyBorder="1" applyAlignment="1">
      <alignment horizontal="center" vertical="center" wrapText="1"/>
    </xf>
    <xf numFmtId="0" fontId="154" fillId="0" borderId="5" xfId="0" applyFont="1" applyBorder="1" applyAlignment="1">
      <alignment horizontal="center" vertical="center" wrapText="1"/>
    </xf>
    <xf numFmtId="0" fontId="159" fillId="0" borderId="7" xfId="0" applyFont="1" applyBorder="1"/>
    <xf numFmtId="0" fontId="159" fillId="0" borderId="8" xfId="0" applyFont="1" applyBorder="1"/>
    <xf numFmtId="0" fontId="156" fillId="0" borderId="10" xfId="0" applyFont="1" applyBorder="1" applyAlignment="1">
      <alignment horizontal="center" vertical="center" wrapText="1"/>
    </xf>
    <xf numFmtId="0" fontId="156" fillId="0" borderId="7" xfId="0" applyFont="1" applyBorder="1" applyAlignment="1">
      <alignment horizontal="center" vertical="center" wrapText="1"/>
    </xf>
    <xf numFmtId="0" fontId="156" fillId="0" borderId="8" xfId="0" applyFont="1" applyBorder="1" applyAlignment="1">
      <alignment horizontal="center" vertical="center" wrapText="1"/>
    </xf>
    <xf numFmtId="0" fontId="156" fillId="0" borderId="9" xfId="0" applyFont="1" applyBorder="1" applyAlignment="1">
      <alignment horizontal="center" vertical="center" wrapText="1"/>
    </xf>
    <xf numFmtId="0" fontId="156" fillId="0" borderId="7" xfId="0" applyFont="1" applyBorder="1" applyAlignment="1">
      <alignment horizontal="center" vertical="top" wrapText="1"/>
    </xf>
    <xf numFmtId="0" fontId="156" fillId="0" borderId="9" xfId="0" applyFont="1" applyBorder="1" applyAlignment="1">
      <alignment horizontal="center" vertical="top" wrapText="1"/>
    </xf>
    <xf numFmtId="188" fontId="161" fillId="0" borderId="34" xfId="4" applyNumberFormat="1" applyFont="1" applyBorder="1" applyAlignment="1">
      <alignment horizontal="center" vertical="center" wrapText="1"/>
    </xf>
    <xf numFmtId="0" fontId="156" fillId="0" borderId="59" xfId="0" applyFont="1" applyBorder="1" applyAlignment="1">
      <alignment horizontal="center" vertical="top" wrapText="1"/>
    </xf>
    <xf numFmtId="0" fontId="156" fillId="0" borderId="60" xfId="0" applyFont="1" applyBorder="1" applyAlignment="1">
      <alignment horizontal="center" vertical="top" wrapText="1"/>
    </xf>
    <xf numFmtId="0" fontId="156" fillId="0" borderId="61" xfId="0" applyFont="1" applyBorder="1" applyAlignment="1">
      <alignment horizontal="center" vertical="top" wrapText="1"/>
    </xf>
    <xf numFmtId="0" fontId="156" fillId="0" borderId="62" xfId="0" applyFont="1" applyBorder="1" applyAlignment="1">
      <alignment horizontal="center" vertical="top" wrapText="1"/>
    </xf>
    <xf numFmtId="0" fontId="156" fillId="0" borderId="63" xfId="0" applyFont="1" applyBorder="1" applyAlignment="1">
      <alignment horizontal="center" vertical="top" wrapText="1"/>
    </xf>
    <xf numFmtId="0" fontId="156" fillId="0" borderId="64" xfId="0" applyFont="1" applyBorder="1" applyAlignment="1">
      <alignment horizontal="center" vertical="top" wrapText="1"/>
    </xf>
    <xf numFmtId="0" fontId="156" fillId="0" borderId="13" xfId="0" applyFont="1" applyBorder="1" applyAlignment="1">
      <alignment horizontal="center" vertical="center" wrapText="1"/>
    </xf>
    <xf numFmtId="0" fontId="159" fillId="0" borderId="5" xfId="0" applyFont="1" applyBorder="1" applyAlignment="1">
      <alignment horizontal="center"/>
    </xf>
    <xf numFmtId="0" fontId="159" fillId="0" borderId="11" xfId="0" applyFont="1" applyBorder="1" applyAlignment="1">
      <alignment horizontal="center"/>
    </xf>
    <xf numFmtId="0" fontId="156" fillId="0" borderId="5" xfId="0" applyFont="1" applyBorder="1" applyAlignment="1">
      <alignment horizontal="center" vertical="top" wrapText="1"/>
    </xf>
    <xf numFmtId="188" fontId="156" fillId="0" borderId="5" xfId="4" applyNumberFormat="1" applyFont="1" applyBorder="1" applyAlignment="1">
      <alignment horizontal="center" vertical="top" wrapText="1"/>
    </xf>
    <xf numFmtId="188" fontId="161" fillId="0" borderId="7" xfId="4" applyNumberFormat="1" applyFont="1" applyBorder="1" applyAlignment="1">
      <alignment horizontal="center" vertical="center" wrapText="1"/>
    </xf>
    <xf numFmtId="0" fontId="156" fillId="0" borderId="65" xfId="0" applyFont="1" applyBorder="1" applyAlignment="1">
      <alignment horizontal="center" vertical="top" wrapText="1"/>
    </xf>
    <xf numFmtId="0" fontId="156" fillId="0" borderId="10" xfId="0" applyFont="1" applyBorder="1" applyAlignment="1">
      <alignment horizontal="center" vertical="top" wrapText="1"/>
    </xf>
    <xf numFmtId="0" fontId="156" fillId="0" borderId="66" xfId="0" applyFont="1" applyBorder="1" applyAlignment="1">
      <alignment horizontal="center" vertical="top" wrapText="1"/>
    </xf>
    <xf numFmtId="0" fontId="154" fillId="6" borderId="0" xfId="0" applyFont="1" applyFill="1"/>
    <xf numFmtId="0" fontId="162" fillId="6" borderId="10" xfId="0" applyFont="1" applyFill="1" applyBorder="1" applyAlignment="1">
      <alignment horizontal="center" vertical="center" wrapText="1"/>
    </xf>
    <xf numFmtId="0" fontId="161" fillId="6" borderId="5" xfId="0" applyFont="1" applyFill="1" applyBorder="1" applyAlignment="1">
      <alignment vertical="top"/>
    </xf>
    <xf numFmtId="0" fontId="161" fillId="6" borderId="5" xfId="0" applyFont="1" applyFill="1" applyBorder="1" applyAlignment="1">
      <alignment vertical="top" wrapText="1"/>
    </xf>
    <xf numFmtId="188" fontId="161" fillId="6" borderId="11" xfId="0" applyNumberFormat="1" applyFont="1" applyFill="1" applyBorder="1" applyAlignment="1">
      <alignment horizontal="center" vertical="top" wrapText="1"/>
    </xf>
    <xf numFmtId="188" fontId="161" fillId="6" borderId="67" xfId="0" applyNumberFormat="1" applyFont="1" applyFill="1" applyBorder="1" applyAlignment="1">
      <alignment vertical="top" wrapText="1"/>
    </xf>
    <xf numFmtId="188" fontId="161" fillId="6" borderId="5" xfId="0" applyNumberFormat="1" applyFont="1" applyFill="1" applyBorder="1" applyAlignment="1">
      <alignment vertical="top" wrapText="1"/>
    </xf>
    <xf numFmtId="188" fontId="161" fillId="6" borderId="68" xfId="0" applyNumberFormat="1" applyFont="1" applyFill="1" applyBorder="1" applyAlignment="1">
      <alignment vertical="top" wrapText="1"/>
    </xf>
    <xf numFmtId="0" fontId="156" fillId="6" borderId="13" xfId="0" applyFont="1" applyFill="1" applyBorder="1" applyAlignment="1">
      <alignment vertical="top" wrapText="1"/>
    </xf>
    <xf numFmtId="0" fontId="154" fillId="6" borderId="5" xfId="0" applyFont="1" applyFill="1" applyBorder="1" applyAlignment="1">
      <alignment horizontal="center" vertical="center" wrapText="1"/>
    </xf>
    <xf numFmtId="0" fontId="154" fillId="2" borderId="0" xfId="0" applyFont="1" applyFill="1"/>
    <xf numFmtId="0" fontId="154" fillId="2" borderId="6" xfId="0" applyFont="1" applyFill="1" applyBorder="1" applyAlignment="1">
      <alignment horizontal="center" vertical="top"/>
    </xf>
    <xf numFmtId="0" fontId="156" fillId="2" borderId="1" xfId="0" applyFont="1" applyFill="1" applyBorder="1" applyAlignment="1">
      <alignment horizontal="center" vertical="top" wrapText="1"/>
    </xf>
    <xf numFmtId="0" fontId="154" fillId="2" borderId="5" xfId="0" applyFont="1" applyFill="1" applyBorder="1" applyAlignment="1">
      <alignment vertical="top" wrapText="1"/>
    </xf>
    <xf numFmtId="188" fontId="154" fillId="2" borderId="5" xfId="4" applyNumberFormat="1" applyFont="1" applyFill="1" applyBorder="1" applyAlignment="1">
      <alignment horizontal="center" vertical="top" wrapText="1"/>
    </xf>
    <xf numFmtId="188" fontId="156" fillId="2" borderId="67" xfId="4" applyNumberFormat="1" applyFont="1" applyFill="1" applyBorder="1" applyAlignment="1">
      <alignment horizontal="center" vertical="top" wrapText="1"/>
    </xf>
    <xf numFmtId="188" fontId="156" fillId="2" borderId="5" xfId="4" applyNumberFormat="1" applyFont="1" applyFill="1" applyBorder="1" applyAlignment="1">
      <alignment horizontal="center" vertical="top" wrapText="1"/>
    </xf>
    <xf numFmtId="188" fontId="156" fillId="2" borderId="11" xfId="4" applyNumberFormat="1" applyFont="1" applyFill="1" applyBorder="1" applyAlignment="1">
      <alignment horizontal="center" vertical="top" wrapText="1"/>
    </xf>
    <xf numFmtId="188" fontId="161" fillId="2" borderId="5" xfId="4" applyNumberFormat="1" applyFont="1" applyFill="1" applyBorder="1" applyAlignment="1">
      <alignment horizontal="center" vertical="top" wrapText="1"/>
    </xf>
    <xf numFmtId="188" fontId="154" fillId="6" borderId="5" xfId="4" applyNumberFormat="1" applyFont="1" applyFill="1" applyBorder="1" applyAlignment="1">
      <alignment horizontal="center" vertical="top"/>
    </xf>
    <xf numFmtId="188" fontId="156" fillId="2" borderId="5" xfId="4" applyNumberFormat="1" applyFont="1" applyFill="1" applyBorder="1" applyAlignment="1">
      <alignment horizontal="center" vertical="top" textRotation="90" wrapText="1"/>
    </xf>
    <xf numFmtId="188" fontId="156" fillId="2" borderId="13" xfId="4" applyNumberFormat="1" applyFont="1" applyFill="1" applyBorder="1" applyAlignment="1">
      <alignment horizontal="center" vertical="top" wrapText="1"/>
    </xf>
    <xf numFmtId="188" fontId="156" fillId="2" borderId="68" xfId="4" applyNumberFormat="1" applyFont="1" applyFill="1" applyBorder="1" applyAlignment="1">
      <alignment horizontal="center" vertical="top" wrapText="1"/>
    </xf>
    <xf numFmtId="0" fontId="156" fillId="2" borderId="13" xfId="0" applyFont="1" applyFill="1" applyBorder="1" applyAlignment="1">
      <alignment horizontal="center" vertical="top" wrapText="1"/>
    </xf>
    <xf numFmtId="0" fontId="154" fillId="2" borderId="5" xfId="0" applyFont="1" applyFill="1" applyBorder="1" applyAlignment="1">
      <alignment horizontal="center" vertical="top"/>
    </xf>
    <xf numFmtId="0" fontId="156" fillId="2" borderId="6" xfId="0" applyFont="1" applyFill="1" applyBorder="1" applyAlignment="1">
      <alignment horizontal="center" vertical="top" wrapText="1"/>
    </xf>
    <xf numFmtId="188" fontId="161" fillId="2" borderId="67" xfId="4" applyNumberFormat="1" applyFont="1" applyFill="1" applyBorder="1" applyAlignment="1">
      <alignment horizontal="center" vertical="top" wrapText="1"/>
    </xf>
    <xf numFmtId="0" fontId="154" fillId="2" borderId="35" xfId="0" applyFont="1" applyFill="1" applyBorder="1" applyAlignment="1">
      <alignment horizontal="center" vertical="top"/>
    </xf>
    <xf numFmtId="0" fontId="154" fillId="2" borderId="5" xfId="0" applyFont="1" applyFill="1" applyBorder="1" applyAlignment="1">
      <alignment vertical="top"/>
    </xf>
    <xf numFmtId="0" fontId="162" fillId="0" borderId="6" xfId="0" applyFont="1" applyBorder="1" applyAlignment="1">
      <alignment horizontal="center" vertical="center" wrapText="1"/>
    </xf>
    <xf numFmtId="0" fontId="156" fillId="2" borderId="5" xfId="0" applyFont="1" applyFill="1" applyBorder="1" applyAlignment="1">
      <alignment horizontal="left" vertical="top" wrapText="1"/>
    </xf>
    <xf numFmtId="0" fontId="161" fillId="0" borderId="67" xfId="0" applyFont="1" applyBorder="1" applyAlignment="1">
      <alignment vertical="top" wrapText="1"/>
    </xf>
    <xf numFmtId="0" fontId="161" fillId="0" borderId="5" xfId="0" applyFont="1" applyBorder="1" applyAlignment="1">
      <alignment vertical="top" wrapText="1"/>
    </xf>
    <xf numFmtId="0" fontId="161" fillId="0" borderId="68" xfId="0" applyFont="1" applyBorder="1" applyAlignment="1">
      <alignment vertical="top" wrapText="1"/>
    </xf>
    <xf numFmtId="0" fontId="156" fillId="0" borderId="68" xfId="0" applyFont="1" applyBorder="1" applyAlignment="1">
      <alignment vertical="top" wrapText="1"/>
    </xf>
    <xf numFmtId="59" fontId="162" fillId="0" borderId="1" xfId="0" applyNumberFormat="1" applyFont="1" applyBorder="1" applyAlignment="1">
      <alignment horizontal="center" vertical="center" wrapText="1"/>
    </xf>
    <xf numFmtId="0" fontId="154" fillId="2" borderId="1" xfId="0" applyFont="1" applyFill="1" applyBorder="1" applyAlignment="1">
      <alignment horizontal="left" vertical="top" wrapText="1"/>
    </xf>
    <xf numFmtId="0" fontId="154" fillId="2" borderId="1" xfId="0" applyFont="1" applyFill="1" applyBorder="1" applyAlignment="1">
      <alignment horizontal="center" vertical="top"/>
    </xf>
    <xf numFmtId="188" fontId="154" fillId="2" borderId="5" xfId="4" applyNumberFormat="1" applyFont="1" applyFill="1" applyBorder="1" applyAlignment="1">
      <alignment vertical="top" wrapText="1"/>
    </xf>
    <xf numFmtId="188" fontId="154" fillId="2" borderId="11" xfId="4" applyNumberFormat="1" applyFont="1" applyFill="1" applyBorder="1" applyAlignment="1">
      <alignment vertical="top" wrapText="1"/>
    </xf>
    <xf numFmtId="188" fontId="154" fillId="2" borderId="5" xfId="4" applyNumberFormat="1" applyFont="1" applyFill="1" applyBorder="1" applyAlignment="1">
      <alignment horizontal="center" vertical="top"/>
    </xf>
    <xf numFmtId="188" fontId="154" fillId="2" borderId="5" xfId="4" applyNumberFormat="1" applyFont="1" applyFill="1" applyBorder="1" applyAlignment="1">
      <alignment horizontal="center" vertical="top" textRotation="90"/>
    </xf>
    <xf numFmtId="0" fontId="162" fillId="0" borderId="34" xfId="0" applyFont="1" applyBorder="1" applyAlignment="1">
      <alignment horizontal="center" vertical="center" wrapText="1"/>
    </xf>
    <xf numFmtId="0" fontId="154" fillId="0" borderId="6" xfId="0" applyFont="1" applyBorder="1" applyAlignment="1">
      <alignment vertical="top"/>
    </xf>
    <xf numFmtId="0" fontId="154" fillId="2" borderId="6" xfId="0" applyFont="1" applyFill="1" applyBorder="1" applyAlignment="1">
      <alignment horizontal="left" vertical="top" wrapText="1"/>
    </xf>
    <xf numFmtId="188" fontId="154" fillId="2" borderId="13" xfId="4" applyNumberFormat="1" applyFont="1" applyFill="1" applyBorder="1" applyAlignment="1">
      <alignment horizontal="center" vertical="top"/>
    </xf>
    <xf numFmtId="188" fontId="154" fillId="2" borderId="11" xfId="4" applyNumberFormat="1" applyFont="1" applyFill="1" applyBorder="1" applyAlignment="1">
      <alignment horizontal="center" vertical="top"/>
    </xf>
    <xf numFmtId="0" fontId="156" fillId="2" borderId="9" xfId="0" applyFont="1" applyFill="1" applyBorder="1" applyAlignment="1">
      <alignment horizontal="center" vertical="top" wrapText="1"/>
    </xf>
    <xf numFmtId="0" fontId="154" fillId="2" borderId="6" xfId="0" applyFont="1" applyFill="1" applyBorder="1"/>
    <xf numFmtId="59" fontId="154" fillId="2" borderId="1" xfId="0" applyNumberFormat="1" applyFont="1" applyFill="1" applyBorder="1" applyAlignment="1">
      <alignment horizontal="center" vertical="top"/>
    </xf>
    <xf numFmtId="0" fontId="154" fillId="2" borderId="1" xfId="0" applyFont="1" applyFill="1" applyBorder="1" applyAlignment="1">
      <alignment vertical="top" wrapText="1"/>
    </xf>
    <xf numFmtId="0" fontId="154" fillId="2" borderId="6" xfId="0" applyFont="1" applyFill="1" applyBorder="1" applyAlignment="1">
      <alignment vertical="top" wrapText="1"/>
    </xf>
    <xf numFmtId="188" fontId="154" fillId="2" borderId="4" xfId="4" applyNumberFormat="1" applyFont="1" applyFill="1" applyBorder="1" applyAlignment="1">
      <alignment horizontal="center" vertical="top"/>
    </xf>
    <xf numFmtId="188" fontId="154" fillId="2" borderId="1" xfId="4" applyNumberFormat="1" applyFont="1" applyFill="1" applyBorder="1" applyAlignment="1">
      <alignment horizontal="center" vertical="top"/>
    </xf>
    <xf numFmtId="188" fontId="154" fillId="2" borderId="68" xfId="4" applyNumberFormat="1" applyFont="1" applyFill="1" applyBorder="1" applyAlignment="1">
      <alignment horizontal="center" vertical="top"/>
    </xf>
    <xf numFmtId="188" fontId="154" fillId="2" borderId="67" xfId="4" applyNumberFormat="1" applyFont="1" applyFill="1" applyBorder="1" applyAlignment="1">
      <alignment horizontal="center" vertical="top"/>
    </xf>
    <xf numFmtId="0" fontId="154" fillId="2" borderId="10" xfId="0" applyFont="1" applyFill="1" applyBorder="1" applyAlignment="1">
      <alignment horizontal="center" vertical="top"/>
    </xf>
    <xf numFmtId="0" fontId="154" fillId="2" borderId="10" xfId="0" applyFont="1" applyFill="1" applyBorder="1" applyAlignment="1">
      <alignment vertical="top" wrapText="1"/>
    </xf>
    <xf numFmtId="0" fontId="154" fillId="2" borderId="10" xfId="0" applyFont="1" applyFill="1" applyBorder="1" applyAlignment="1">
      <alignment horizontal="left" vertical="top" wrapText="1"/>
    </xf>
    <xf numFmtId="0" fontId="156" fillId="2" borderId="10" xfId="0" applyFont="1" applyFill="1" applyBorder="1" applyAlignment="1">
      <alignment horizontal="center" vertical="top" wrapText="1"/>
    </xf>
    <xf numFmtId="0" fontId="154" fillId="2" borderId="5" xfId="0" applyFont="1" applyFill="1" applyBorder="1" applyAlignment="1">
      <alignment horizontal="left" vertical="top" wrapText="1"/>
    </xf>
    <xf numFmtId="0" fontId="156" fillId="2" borderId="5" xfId="0" applyFont="1" applyFill="1" applyBorder="1" applyAlignment="1">
      <alignment horizontal="center" vertical="top" wrapText="1"/>
    </xf>
    <xf numFmtId="0" fontId="154" fillId="0" borderId="0" xfId="0" applyFont="1" applyAlignment="1">
      <alignment horizontal="center"/>
    </xf>
    <xf numFmtId="188" fontId="156" fillId="2" borderId="0" xfId="4" applyNumberFormat="1" applyFont="1" applyFill="1" applyBorder="1" applyAlignment="1">
      <alignment horizontal="left" vertical="top" wrapText="1"/>
    </xf>
    <xf numFmtId="188" fontId="154" fillId="2" borderId="0" xfId="4" applyNumberFormat="1" applyFont="1" applyFill="1" applyBorder="1" applyAlignment="1">
      <alignment vertical="top" wrapText="1"/>
    </xf>
    <xf numFmtId="0" fontId="154" fillId="2" borderId="0" xfId="0" applyFont="1" applyFill="1" applyAlignment="1">
      <alignment vertical="top" wrapText="1"/>
    </xf>
    <xf numFmtId="188" fontId="154" fillId="0" borderId="0" xfId="0" applyNumberFormat="1" applyFont="1"/>
    <xf numFmtId="188" fontId="156" fillId="2" borderId="0" xfId="4" applyNumberFormat="1" applyFont="1" applyFill="1" applyBorder="1" applyAlignment="1">
      <alignment horizontal="right" vertical="center" wrapText="1"/>
    </xf>
    <xf numFmtId="0" fontId="162" fillId="6" borderId="6" xfId="0" applyFont="1" applyFill="1" applyBorder="1" applyAlignment="1">
      <alignment horizontal="center" vertical="center" wrapText="1"/>
    </xf>
    <xf numFmtId="0" fontId="161" fillId="6" borderId="1" xfId="0" applyFont="1" applyFill="1" applyBorder="1" applyAlignment="1">
      <alignment vertical="top"/>
    </xf>
    <xf numFmtId="0" fontId="161" fillId="6" borderId="1" xfId="0" applyFont="1" applyFill="1" applyBorder="1" applyAlignment="1">
      <alignment vertical="top" wrapText="1"/>
    </xf>
    <xf numFmtId="0" fontId="161" fillId="6" borderId="0" xfId="0" applyFont="1" applyFill="1" applyAlignment="1">
      <alignment vertical="top" wrapText="1"/>
    </xf>
    <xf numFmtId="188" fontId="161" fillId="6" borderId="13" xfId="0" applyNumberFormat="1" applyFont="1" applyFill="1" applyBorder="1" applyAlignment="1">
      <alignment vertical="top" wrapText="1"/>
    </xf>
    <xf numFmtId="60" fontId="154" fillId="0" borderId="1" xfId="0" applyNumberFormat="1" applyFont="1" applyBorder="1" applyAlignment="1">
      <alignment vertical="top" wrapText="1"/>
    </xf>
    <xf numFmtId="0" fontId="156" fillId="6" borderId="6" xfId="0" applyFont="1" applyFill="1" applyBorder="1" applyAlignment="1">
      <alignment horizontal="left" vertical="top" wrapText="1"/>
    </xf>
    <xf numFmtId="0" fontId="156" fillId="6" borderId="6" xfId="0" applyFont="1" applyFill="1" applyBorder="1" applyAlignment="1">
      <alignment horizontal="center" vertical="top" wrapText="1"/>
    </xf>
    <xf numFmtId="0" fontId="156" fillId="6" borderId="0" xfId="0" applyFont="1" applyFill="1" applyAlignment="1">
      <alignment horizontal="center" vertical="top" wrapText="1"/>
    </xf>
    <xf numFmtId="0" fontId="156" fillId="6" borderId="5" xfId="0" applyFont="1" applyFill="1" applyBorder="1" applyAlignment="1">
      <alignment horizontal="left" vertical="top" wrapText="1"/>
    </xf>
    <xf numFmtId="188" fontId="156" fillId="6" borderId="5" xfId="4" applyNumberFormat="1" applyFont="1" applyFill="1" applyBorder="1" applyAlignment="1">
      <alignment horizontal="center" vertical="top" wrapText="1"/>
    </xf>
    <xf numFmtId="188" fontId="156" fillId="6" borderId="11" xfId="4" applyNumberFormat="1" applyFont="1" applyFill="1" applyBorder="1" applyAlignment="1">
      <alignment horizontal="center" vertical="top" wrapText="1"/>
    </xf>
    <xf numFmtId="0" fontId="154" fillId="6" borderId="35" xfId="0" applyFont="1" applyFill="1" applyBorder="1" applyAlignment="1">
      <alignment horizontal="center" vertical="top"/>
    </xf>
    <xf numFmtId="0" fontId="154" fillId="6" borderId="6" xfId="0" applyFont="1" applyFill="1" applyBorder="1" applyAlignment="1">
      <alignment vertical="top"/>
    </xf>
    <xf numFmtId="0" fontId="154" fillId="6" borderId="6" xfId="0" applyFont="1" applyFill="1" applyBorder="1" applyAlignment="1">
      <alignment horizontal="left" vertical="top" wrapText="1"/>
    </xf>
    <xf numFmtId="0" fontId="154" fillId="6" borderId="6" xfId="0" applyFont="1" applyFill="1" applyBorder="1" applyAlignment="1">
      <alignment horizontal="center" vertical="top"/>
    </xf>
    <xf numFmtId="188" fontId="154" fillId="6" borderId="13" xfId="4" applyNumberFormat="1" applyFont="1" applyFill="1" applyBorder="1" applyAlignment="1">
      <alignment horizontal="center" vertical="top"/>
    </xf>
    <xf numFmtId="0" fontId="156" fillId="6" borderId="9" xfId="0" applyFont="1" applyFill="1" applyBorder="1" applyAlignment="1">
      <alignment horizontal="center" vertical="top" wrapText="1"/>
    </xf>
    <xf numFmtId="0" fontId="154" fillId="6" borderId="5" xfId="0" applyFont="1" applyFill="1" applyBorder="1" applyAlignment="1">
      <alignment horizontal="center" vertical="top"/>
    </xf>
    <xf numFmtId="188" fontId="2" fillId="0" borderId="0" xfId="0" applyNumberFormat="1" applyFont="1"/>
    <xf numFmtId="188" fontId="64" fillId="3" borderId="5" xfId="1" applyNumberFormat="1" applyFont="1" applyFill="1" applyBorder="1" applyAlignment="1">
      <alignment horizontal="center"/>
    </xf>
    <xf numFmtId="188" fontId="158" fillId="3" borderId="5" xfId="1" applyNumberFormat="1" applyFont="1" applyFill="1" applyBorder="1" applyAlignment="1">
      <alignment horizontal="center"/>
    </xf>
    <xf numFmtId="0" fontId="28" fillId="6" borderId="1" xfId="0" applyFont="1" applyFill="1" applyBorder="1" applyAlignment="1">
      <alignment vertical="top"/>
    </xf>
    <xf numFmtId="0" fontId="28" fillId="6" borderId="6" xfId="0" applyFont="1" applyFill="1" applyBorder="1"/>
    <xf numFmtId="0" fontId="28" fillId="6" borderId="34" xfId="0" applyFont="1" applyFill="1" applyBorder="1" applyAlignment="1">
      <alignment horizontal="center"/>
    </xf>
    <xf numFmtId="0" fontId="28" fillId="6" borderId="0" xfId="0" applyFont="1" applyFill="1"/>
    <xf numFmtId="0" fontId="20"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0" fillId="0" borderId="5" xfId="0" applyFont="1" applyBorder="1" applyAlignment="1">
      <alignment horizontal="right" vertical="center"/>
    </xf>
    <xf numFmtId="188" fontId="20" fillId="0" borderId="5" xfId="1" applyNumberFormat="1" applyFont="1" applyFill="1" applyBorder="1" applyAlignment="1">
      <alignment horizontal="center"/>
    </xf>
    <xf numFmtId="188" fontId="20" fillId="0" borderId="5" xfId="0" applyNumberFormat="1" applyFont="1" applyBorder="1" applyAlignment="1">
      <alignment horizontal="center" vertical="center"/>
    </xf>
    <xf numFmtId="0" fontId="43" fillId="0" borderId="5" xfId="0" applyFont="1" applyBorder="1" applyAlignment="1">
      <alignment horizontal="center"/>
    </xf>
    <xf numFmtId="188" fontId="20" fillId="0" borderId="5" xfId="0" applyNumberFormat="1" applyFont="1" applyBorder="1" applyAlignment="1">
      <alignment horizontal="center" vertical="center" wrapText="1"/>
    </xf>
    <xf numFmtId="188" fontId="20" fillId="0" borderId="5" xfId="1" applyNumberFormat="1" applyFont="1" applyFill="1" applyBorder="1" applyAlignment="1">
      <alignment horizontal="center" wrapText="1"/>
    </xf>
    <xf numFmtId="188" fontId="20" fillId="0" borderId="5" xfId="1" applyNumberFormat="1" applyFont="1" applyFill="1" applyBorder="1" applyAlignment="1">
      <alignment vertical="center"/>
    </xf>
    <xf numFmtId="188" fontId="20" fillId="0" borderId="0" xfId="1" applyNumberFormat="1" applyFont="1" applyFill="1" applyBorder="1" applyAlignment="1">
      <alignment vertical="center"/>
    </xf>
    <xf numFmtId="188" fontId="20" fillId="0" borderId="0" xfId="0" applyNumberFormat="1" applyFont="1" applyAlignment="1">
      <alignment horizontal="center" vertical="center"/>
    </xf>
    <xf numFmtId="0" fontId="64" fillId="0" borderId="10" xfId="0" applyFont="1" applyBorder="1" applyAlignment="1">
      <alignment horizontal="center" vertical="top" wrapText="1"/>
    </xf>
    <xf numFmtId="0" fontId="18" fillId="0" borderId="10" xfId="0" applyFont="1" applyBorder="1" applyAlignment="1">
      <alignment horizontal="center" vertical="center" wrapText="1"/>
    </xf>
    <xf numFmtId="0" fontId="64" fillId="0" borderId="10" xfId="0" applyFont="1" applyBorder="1" applyAlignment="1">
      <alignment horizontal="left" vertical="center"/>
    </xf>
    <xf numFmtId="188" fontId="64" fillId="0" borderId="10" xfId="0" applyNumberFormat="1" applyFont="1" applyBorder="1" applyAlignment="1">
      <alignment horizontal="center" vertical="top" wrapText="1"/>
    </xf>
    <xf numFmtId="0" fontId="64" fillId="0" borderId="10" xfId="0" applyFont="1" applyBorder="1" applyAlignment="1">
      <alignment horizontal="center" vertical="center" wrapText="1"/>
    </xf>
    <xf numFmtId="0" fontId="18" fillId="0" borderId="5" xfId="0" applyFont="1" applyBorder="1" applyAlignment="1">
      <alignment horizontal="center" vertical="center"/>
    </xf>
    <xf numFmtId="0" fontId="18" fillId="0" borderId="5" xfId="0" applyFont="1" applyBorder="1" applyAlignment="1">
      <alignment horizontal="center" vertical="top"/>
    </xf>
    <xf numFmtId="0" fontId="163" fillId="0" borderId="5" xfId="0" applyFont="1" applyBorder="1" applyAlignment="1">
      <alignment horizontal="left" vertical="top"/>
    </xf>
    <xf numFmtId="188" fontId="64" fillId="0" borderId="5" xfId="1" applyNumberFormat="1" applyFont="1" applyFill="1" applyBorder="1" applyAlignment="1">
      <alignment horizontal="center" vertical="top" wrapText="1"/>
    </xf>
    <xf numFmtId="0" fontId="64" fillId="0" borderId="1" xfId="0" applyFont="1" applyBorder="1" applyAlignment="1">
      <alignment vertical="top"/>
    </xf>
    <xf numFmtId="188" fontId="18" fillId="0" borderId="1" xfId="1" applyNumberFormat="1" applyFont="1" applyFill="1" applyBorder="1" applyAlignment="1">
      <alignment horizontal="left" vertical="top"/>
    </xf>
    <xf numFmtId="0" fontId="163" fillId="0" borderId="1" xfId="0" applyFont="1" applyBorder="1" applyAlignment="1">
      <alignment vertical="top"/>
    </xf>
    <xf numFmtId="3" fontId="18" fillId="0" borderId="5" xfId="4" applyNumberFormat="1" applyFont="1" applyFill="1" applyBorder="1" applyAlignment="1">
      <alignment horizontal="center" vertical="top" wrapText="1"/>
    </xf>
    <xf numFmtId="0" fontId="18" fillId="0" borderId="1" xfId="0" applyFont="1" applyBorder="1" applyAlignment="1">
      <alignment vertical="top"/>
    </xf>
    <xf numFmtId="3" fontId="18" fillId="0" borderId="13" xfId="4" applyNumberFormat="1" applyFont="1" applyFill="1" applyBorder="1" applyAlignment="1">
      <alignment horizontal="center" vertical="top" wrapText="1"/>
    </xf>
    <xf numFmtId="0" fontId="18" fillId="0" borderId="5" xfId="0" applyFont="1" applyBorder="1" applyAlignment="1">
      <alignment vertical="top"/>
    </xf>
    <xf numFmtId="3" fontId="18" fillId="0" borderId="5" xfId="0" applyNumberFormat="1" applyFont="1" applyBorder="1" applyAlignment="1">
      <alignment horizontal="center" vertical="top"/>
    </xf>
    <xf numFmtId="188" fontId="18" fillId="0" borderId="5" xfId="1" applyNumberFormat="1" applyFont="1" applyFill="1" applyBorder="1" applyAlignment="1">
      <alignment vertical="top"/>
    </xf>
    <xf numFmtId="3" fontId="18" fillId="0" borderId="13" xfId="0" applyNumberFormat="1" applyFont="1" applyBorder="1" applyAlignment="1">
      <alignment horizontal="center" vertical="top"/>
    </xf>
    <xf numFmtId="43" fontId="64" fillId="0" borderId="13" xfId="4" applyFont="1" applyFill="1" applyBorder="1" applyAlignment="1">
      <alignment vertical="top" wrapText="1"/>
    </xf>
    <xf numFmtId="188" fontId="64" fillId="0" borderId="5" xfId="0" applyNumberFormat="1" applyFont="1" applyBorder="1" applyAlignment="1">
      <alignment horizontal="center" vertical="top" wrapText="1"/>
    </xf>
    <xf numFmtId="188" fontId="18" fillId="0" borderId="5" xfId="0" applyNumberFormat="1" applyFont="1" applyBorder="1" applyAlignment="1">
      <alignment horizontal="center" vertical="top" wrapText="1"/>
    </xf>
    <xf numFmtId="188" fontId="18" fillId="0" borderId="4" xfId="0" applyNumberFormat="1" applyFont="1" applyBorder="1" applyAlignment="1">
      <alignment horizontal="center" vertical="top" wrapText="1"/>
    </xf>
    <xf numFmtId="188" fontId="64" fillId="0" borderId="10" xfId="1" applyNumberFormat="1" applyFont="1" applyFill="1" applyBorder="1" applyAlignment="1">
      <alignment horizontal="center" vertical="top" wrapText="1"/>
    </xf>
    <xf numFmtId="0" fontId="18" fillId="0" borderId="5" xfId="0" applyFont="1" applyBorder="1" applyAlignment="1">
      <alignment horizontal="center" vertical="center" wrapText="1"/>
    </xf>
    <xf numFmtId="0" fontId="18" fillId="0" borderId="0" xfId="0" applyFont="1" applyAlignment="1">
      <alignment wrapText="1"/>
    </xf>
    <xf numFmtId="188" fontId="18" fillId="0" borderId="5" xfId="1" applyNumberFormat="1" applyFont="1" applyFill="1" applyBorder="1" applyAlignment="1">
      <alignment vertical="top" wrapText="1"/>
    </xf>
    <xf numFmtId="0" fontId="18" fillId="0" borderId="5" xfId="0" applyFont="1" applyBorder="1" applyAlignment="1">
      <alignment vertical="top" wrapText="1"/>
    </xf>
    <xf numFmtId="0" fontId="18" fillId="0" borderId="0" xfId="0" applyFont="1" applyAlignment="1">
      <alignment vertical="top"/>
    </xf>
    <xf numFmtId="0" fontId="18" fillId="0" borderId="5" xfId="0" applyFont="1" applyBorder="1" applyAlignment="1">
      <alignment horizontal="left" vertical="top"/>
    </xf>
    <xf numFmtId="188" fontId="18" fillId="0" borderId="10" xfId="1" applyNumberFormat="1" applyFont="1" applyFill="1" applyBorder="1" applyAlignment="1">
      <alignment vertical="top"/>
    </xf>
    <xf numFmtId="0" fontId="18" fillId="0" borderId="0" xfId="0" applyFont="1" applyAlignment="1">
      <alignment horizontal="center"/>
    </xf>
    <xf numFmtId="0" fontId="18" fillId="0" borderId="5" xfId="0" applyFont="1" applyBorder="1" applyAlignment="1">
      <alignment vertical="center"/>
    </xf>
    <xf numFmtId="0" fontId="18" fillId="0" borderId="11" xfId="0" applyFont="1" applyBorder="1" applyAlignment="1">
      <alignment horizontal="left" vertical="center" wrapText="1"/>
    </xf>
    <xf numFmtId="0" fontId="64" fillId="0" borderId="5" xfId="0" applyFont="1" applyBorder="1" applyAlignment="1">
      <alignment horizontal="left" vertical="top" wrapText="1"/>
    </xf>
    <xf numFmtId="188" fontId="18" fillId="0" borderId="5" xfId="13" applyNumberFormat="1" applyFont="1" applyFill="1" applyBorder="1" applyAlignment="1">
      <alignment horizontal="left" vertical="top" wrapText="1"/>
    </xf>
    <xf numFmtId="188" fontId="18" fillId="0" borderId="5" xfId="13" applyNumberFormat="1" applyFont="1" applyFill="1" applyBorder="1" applyAlignment="1">
      <alignment horizontal="center" vertical="top" wrapText="1"/>
    </xf>
    <xf numFmtId="188" fontId="18" fillId="0" borderId="5" xfId="0" applyNumberFormat="1" applyFont="1" applyBorder="1"/>
    <xf numFmtId="0" fontId="64" fillId="0" borderId="6" xfId="0" applyFont="1" applyBorder="1" applyAlignment="1">
      <alignment horizontal="center" vertical="top" wrapText="1"/>
    </xf>
    <xf numFmtId="0" fontId="64" fillId="0" borderId="5" xfId="0" applyFont="1" applyBorder="1" applyAlignment="1">
      <alignment horizontal="center" vertical="top" wrapText="1"/>
    </xf>
    <xf numFmtId="0" fontId="64" fillId="0" borderId="5" xfId="0" applyFont="1" applyBorder="1" applyAlignment="1">
      <alignment horizontal="center" vertical="center" wrapText="1"/>
    </xf>
    <xf numFmtId="188" fontId="64" fillId="0" borderId="10" xfId="1" applyNumberFormat="1" applyFont="1" applyFill="1" applyBorder="1" applyAlignment="1">
      <alignment horizontal="center" vertical="center" wrapText="1"/>
    </xf>
    <xf numFmtId="188" fontId="18" fillId="0" borderId="6" xfId="4" applyNumberFormat="1" applyFont="1" applyFill="1" applyBorder="1" applyAlignment="1">
      <alignment vertical="top"/>
    </xf>
    <xf numFmtId="188" fontId="18" fillId="0" borderId="13" xfId="4" applyNumberFormat="1" applyFont="1" applyFill="1" applyBorder="1" applyAlignment="1">
      <alignment vertical="top" wrapText="1"/>
    </xf>
    <xf numFmtId="3" fontId="18" fillId="0" borderId="1" xfId="4" applyNumberFormat="1" applyFont="1" applyFill="1" applyBorder="1" applyAlignment="1">
      <alignment horizontal="center" vertical="top" wrapText="1"/>
    </xf>
    <xf numFmtId="3" fontId="18" fillId="0" borderId="6" xfId="4" applyNumberFormat="1" applyFont="1" applyFill="1" applyBorder="1" applyAlignment="1">
      <alignment horizontal="center" vertical="top" wrapText="1"/>
    </xf>
    <xf numFmtId="3" fontId="18" fillId="0" borderId="6" xfId="0" applyNumberFormat="1" applyFont="1" applyBorder="1" applyAlignment="1">
      <alignment horizontal="center" vertical="top"/>
    </xf>
    <xf numFmtId="0" fontId="18" fillId="0" borderId="1" xfId="0" applyFont="1" applyBorder="1" applyAlignment="1">
      <alignment horizontal="left" vertical="top"/>
    </xf>
    <xf numFmtId="3" fontId="18" fillId="0" borderId="6" xfId="4" applyNumberFormat="1" applyFont="1" applyFill="1" applyBorder="1" applyAlignment="1">
      <alignment vertical="top" wrapText="1"/>
    </xf>
    <xf numFmtId="3" fontId="18" fillId="0" borderId="10" xfId="4" applyNumberFormat="1" applyFont="1" applyFill="1" applyBorder="1" applyAlignment="1">
      <alignment horizontal="center" vertical="top" wrapText="1"/>
    </xf>
    <xf numFmtId="0" fontId="64" fillId="0" borderId="10" xfId="0" applyFont="1" applyBorder="1" applyAlignment="1">
      <alignment horizontal="left" vertical="top"/>
    </xf>
    <xf numFmtId="0" fontId="64" fillId="0" borderId="5" xfId="0" applyFont="1" applyBorder="1" applyAlignment="1">
      <alignment vertical="top"/>
    </xf>
    <xf numFmtId="188" fontId="18" fillId="0" borderId="5" xfId="1" applyNumberFormat="1" applyFont="1" applyFill="1" applyBorder="1" applyAlignment="1">
      <alignment vertical="center"/>
    </xf>
    <xf numFmtId="0" fontId="163" fillId="0" borderId="0" xfId="0" applyFont="1" applyAlignment="1">
      <alignment horizontal="left" vertical="center" readingOrder="1"/>
    </xf>
    <xf numFmtId="188" fontId="18" fillId="0" borderId="5" xfId="1" applyNumberFormat="1" applyFont="1" applyFill="1" applyBorder="1" applyAlignment="1">
      <alignment horizontal="center" vertical="center"/>
    </xf>
    <xf numFmtId="188" fontId="64" fillId="0" borderId="5" xfId="1" applyNumberFormat="1" applyFont="1" applyFill="1" applyBorder="1" applyAlignment="1">
      <alignment horizontal="center" vertical="center" wrapText="1"/>
    </xf>
    <xf numFmtId="3" fontId="18" fillId="0" borderId="5" xfId="1" applyNumberFormat="1" applyFont="1" applyFill="1" applyBorder="1" applyAlignment="1">
      <alignment horizontal="center" vertical="center" wrapText="1"/>
    </xf>
    <xf numFmtId="3" fontId="18" fillId="0" borderId="5" xfId="1" applyNumberFormat="1" applyFont="1" applyFill="1" applyBorder="1" applyAlignment="1">
      <alignment horizontal="center" vertical="center"/>
    </xf>
    <xf numFmtId="0" fontId="64" fillId="0" borderId="11" xfId="0" applyFont="1" applyBorder="1" applyAlignment="1">
      <alignment horizontal="left" vertical="center" wrapText="1"/>
    </xf>
    <xf numFmtId="0" fontId="163" fillId="0" borderId="11" xfId="0" applyFont="1" applyBorder="1" applyAlignment="1">
      <alignment horizontal="left" vertical="center" readingOrder="1"/>
    </xf>
    <xf numFmtId="3" fontId="64" fillId="0" borderId="5" xfId="1" applyNumberFormat="1" applyFont="1" applyFill="1" applyBorder="1" applyAlignment="1">
      <alignment horizontal="center" vertical="center" wrapText="1"/>
    </xf>
    <xf numFmtId="0" fontId="18" fillId="0" borderId="36" xfId="0" applyFont="1" applyBorder="1" applyAlignment="1">
      <alignment vertical="top"/>
    </xf>
    <xf numFmtId="0" fontId="18" fillId="0" borderId="11" xfId="0" applyFont="1" applyBorder="1" applyAlignment="1">
      <alignment horizontal="left" vertical="center"/>
    </xf>
    <xf numFmtId="0" fontId="18" fillId="0" borderId="0" xfId="0" applyFont="1" applyAlignment="1">
      <alignment horizontal="left" vertical="center"/>
    </xf>
    <xf numFmtId="188" fontId="18" fillId="0" borderId="5" xfId="1" applyNumberFormat="1" applyFont="1" applyFill="1" applyBorder="1" applyAlignment="1">
      <alignment horizontal="center" vertical="center" wrapText="1"/>
    </xf>
    <xf numFmtId="0" fontId="18" fillId="0" borderId="37" xfId="0" applyFont="1" applyBorder="1" applyAlignment="1">
      <alignment horizontal="left" vertical="center"/>
    </xf>
    <xf numFmtId="0" fontId="18" fillId="0" borderId="5" xfId="0" applyFont="1" applyBorder="1" applyAlignment="1">
      <alignment horizontal="centerContinuous" vertical="center" wrapText="1"/>
    </xf>
    <xf numFmtId="0" fontId="18" fillId="0" borderId="5" xfId="0" applyFont="1" applyBorder="1" applyAlignment="1">
      <alignment horizontal="left" vertical="center"/>
    </xf>
    <xf numFmtId="43" fontId="18" fillId="0" borderId="10" xfId="1" applyFont="1" applyFill="1" applyBorder="1" applyAlignment="1">
      <alignment horizontal="center" vertical="center" wrapText="1"/>
    </xf>
    <xf numFmtId="3" fontId="18" fillId="0" borderId="5" xfId="0" applyNumberFormat="1" applyFont="1" applyBorder="1" applyAlignment="1">
      <alignment horizontal="centerContinuous" vertical="center"/>
    </xf>
    <xf numFmtId="0" fontId="64" fillId="0" borderId="0" xfId="0" applyFont="1" applyAlignment="1">
      <alignment vertical="center"/>
    </xf>
    <xf numFmtId="0" fontId="18" fillId="0" borderId="0" xfId="0" applyFont="1" applyAlignment="1">
      <alignment horizontal="centerContinuous" vertical="center"/>
    </xf>
    <xf numFmtId="188" fontId="18" fillId="0" borderId="5" xfId="13" applyNumberFormat="1" applyFont="1" applyFill="1" applyBorder="1" applyAlignment="1">
      <alignment horizontal="left" vertical="center"/>
    </xf>
    <xf numFmtId="188" fontId="64" fillId="0" borderId="5" xfId="13" applyNumberFormat="1" applyFont="1" applyFill="1" applyBorder="1" applyAlignment="1">
      <alignment horizontal="center" vertical="top" wrapText="1"/>
    </xf>
    <xf numFmtId="188" fontId="18" fillId="0" borderId="0" xfId="13" applyNumberFormat="1" applyFont="1" applyFill="1" applyBorder="1" applyAlignment="1">
      <alignment horizontal="left" vertical="top" wrapText="1"/>
    </xf>
    <xf numFmtId="0" fontId="163" fillId="0" borderId="11" xfId="21" applyFont="1" applyBorder="1" applyAlignment="1">
      <alignment horizontal="left" vertical="center" wrapText="1"/>
    </xf>
    <xf numFmtId="3" fontId="18" fillId="0" borderId="5" xfId="17" applyNumberFormat="1" applyFont="1" applyFill="1" applyBorder="1" applyAlignment="1">
      <alignment horizontal="center" vertical="top"/>
    </xf>
    <xf numFmtId="188" fontId="64" fillId="0" borderId="5" xfId="17" applyNumberFormat="1" applyFont="1" applyFill="1" applyBorder="1" applyAlignment="1">
      <alignment horizontal="center" vertical="top" wrapText="1"/>
    </xf>
    <xf numFmtId="0" fontId="64" fillId="0" borderId="5" xfId="21" applyFont="1" applyBorder="1" applyAlignment="1">
      <alignment horizontal="center" vertical="top" wrapText="1"/>
    </xf>
    <xf numFmtId="0" fontId="18" fillId="0" borderId="5" xfId="21" applyFont="1" applyBorder="1" applyAlignment="1">
      <alignment vertical="top"/>
    </xf>
    <xf numFmtId="0" fontId="18" fillId="0" borderId="11" xfId="9" applyFont="1" applyBorder="1" applyAlignment="1">
      <alignment horizontal="left"/>
    </xf>
    <xf numFmtId="0" fontId="64" fillId="0" borderId="6" xfId="0" applyFont="1" applyBorder="1" applyAlignment="1">
      <alignment horizontal="center" vertical="top"/>
    </xf>
    <xf numFmtId="0" fontId="64" fillId="0" borderId="11" xfId="0" applyFont="1" applyBorder="1" applyAlignment="1">
      <alignment horizontal="left" vertical="top"/>
    </xf>
    <xf numFmtId="3" fontId="64" fillId="0" borderId="6" xfId="0" applyNumberFormat="1" applyFont="1" applyBorder="1" applyAlignment="1">
      <alignment horizontal="center" vertical="top"/>
    </xf>
    <xf numFmtId="3" fontId="64" fillId="0" borderId="5" xfId="0" applyNumberFormat="1" applyFont="1" applyBorder="1" applyAlignment="1">
      <alignment horizontal="center" vertical="top"/>
    </xf>
    <xf numFmtId="0" fontId="64" fillId="0" borderId="5" xfId="0" applyFont="1" applyBorder="1" applyAlignment="1">
      <alignment vertical="center" wrapText="1"/>
    </xf>
    <xf numFmtId="0" fontId="64" fillId="0" borderId="5" xfId="0" applyFont="1" applyBorder="1" applyAlignment="1">
      <alignment horizontal="left" vertical="center"/>
    </xf>
    <xf numFmtId="188" fontId="64" fillId="0" borderId="5" xfId="1" applyNumberFormat="1" applyFont="1" applyFill="1" applyBorder="1" applyAlignment="1">
      <alignment vertical="center" wrapText="1"/>
    </xf>
    <xf numFmtId="188" fontId="64" fillId="0" borderId="5" xfId="0" applyNumberFormat="1" applyFont="1" applyBorder="1" applyAlignment="1">
      <alignment vertical="center" wrapText="1"/>
    </xf>
    <xf numFmtId="0" fontId="64" fillId="0" borderId="10" xfId="0" applyFont="1" applyBorder="1" applyAlignment="1">
      <alignment vertical="center"/>
    </xf>
    <xf numFmtId="188" fontId="64" fillId="0" borderId="10" xfId="4" applyNumberFormat="1" applyFont="1" applyFill="1" applyBorder="1" applyAlignment="1">
      <alignment vertical="center" wrapText="1"/>
    </xf>
    <xf numFmtId="188" fontId="64" fillId="0" borderId="10" xfId="1" applyNumberFormat="1" applyFont="1" applyFill="1" applyBorder="1" applyAlignment="1">
      <alignment vertical="center" wrapText="1"/>
    </xf>
    <xf numFmtId="0" fontId="18" fillId="0" borderId="10" xfId="0" applyFont="1" applyBorder="1" applyAlignment="1">
      <alignment horizontal="center" vertical="center"/>
    </xf>
    <xf numFmtId="188" fontId="18" fillId="0" borderId="5" xfId="4" applyNumberFormat="1" applyFont="1" applyFill="1" applyBorder="1" applyAlignment="1">
      <alignment vertical="top"/>
    </xf>
    <xf numFmtId="188" fontId="18" fillId="0" borderId="10" xfId="1" applyNumberFormat="1" applyFont="1" applyFill="1" applyBorder="1" applyAlignment="1">
      <alignment vertical="top" textRotation="90" wrapText="1"/>
    </xf>
    <xf numFmtId="0" fontId="163" fillId="0" borderId="5" xfId="0" applyFont="1" applyBorder="1" applyAlignment="1">
      <alignment vertical="top"/>
    </xf>
    <xf numFmtId="188" fontId="18" fillId="0" borderId="5" xfId="1" applyNumberFormat="1" applyFont="1" applyFill="1" applyBorder="1" applyAlignment="1">
      <alignment vertical="top" textRotation="90"/>
    </xf>
    <xf numFmtId="0" fontId="18" fillId="0" borderId="2" xfId="0"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18" fillId="0" borderId="7" xfId="0" applyFont="1" applyBorder="1" applyAlignment="1">
      <alignment horizontal="center"/>
    </xf>
    <xf numFmtId="0" fontId="18" fillId="0" borderId="8" xfId="0" applyFont="1" applyBorder="1" applyAlignment="1">
      <alignment horizontal="center"/>
    </xf>
    <xf numFmtId="0" fontId="18" fillId="0" borderId="9" xfId="0" applyFont="1" applyBorder="1" applyAlignment="1">
      <alignment horizontal="center"/>
    </xf>
    <xf numFmtId="0" fontId="18" fillId="0" borderId="5" xfId="0" applyFont="1" applyBorder="1" applyAlignment="1">
      <alignment horizontal="center"/>
    </xf>
    <xf numFmtId="0" fontId="18" fillId="0" borderId="1" xfId="0" applyFont="1" applyBorder="1" applyAlignment="1">
      <alignment horizontal="center"/>
    </xf>
    <xf numFmtId="0" fontId="18" fillId="0" borderId="5" xfId="0" applyFont="1" applyBorder="1" applyAlignment="1">
      <alignment horizontal="center" wrapText="1"/>
    </xf>
    <xf numFmtId="0" fontId="18" fillId="0" borderId="5" xfId="0" applyFont="1" applyBorder="1" applyAlignment="1">
      <alignment horizontal="center" vertical="top" wrapText="1"/>
    </xf>
    <xf numFmtId="0" fontId="18" fillId="0" borderId="11" xfId="0" applyFont="1" applyBorder="1" applyAlignment="1">
      <alignment horizontal="center" wrapText="1"/>
    </xf>
    <xf numFmtId="0" fontId="18" fillId="0" borderId="11" xfId="0" applyFont="1" applyBorder="1" applyAlignment="1">
      <alignment horizontal="center" vertical="center" wrapText="1"/>
    </xf>
    <xf numFmtId="0" fontId="18" fillId="0" borderId="5" xfId="9" applyFont="1" applyBorder="1" applyAlignment="1">
      <alignment horizontal="center"/>
    </xf>
    <xf numFmtId="188" fontId="64" fillId="3" borderId="10" xfId="0" applyNumberFormat="1" applyFont="1" applyFill="1" applyBorder="1" applyAlignment="1">
      <alignment horizontal="center" vertical="top" wrapText="1"/>
    </xf>
    <xf numFmtId="0" fontId="64" fillId="0" borderId="1" xfId="0" applyFont="1" applyBorder="1" applyAlignment="1">
      <alignment horizontal="center" vertical="top" wrapText="1"/>
    </xf>
    <xf numFmtId="0" fontId="40" fillId="0" borderId="0" xfId="0" applyFont="1" applyAlignment="1">
      <alignment horizontal="center"/>
    </xf>
    <xf numFmtId="0" fontId="19" fillId="0" borderId="0" xfId="0" applyFont="1" applyAlignment="1">
      <alignment horizontal="center"/>
    </xf>
    <xf numFmtId="0" fontId="20" fillId="0" borderId="5" xfId="0" applyFont="1" applyBorder="1" applyAlignment="1">
      <alignment horizontal="center" vertical="center"/>
    </xf>
    <xf numFmtId="0" fontId="20" fillId="0" borderId="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xf>
    <xf numFmtId="0" fontId="20" fillId="0" borderId="13" xfId="0" applyFont="1" applyBorder="1" applyAlignment="1">
      <alignment horizontal="center"/>
    </xf>
    <xf numFmtId="0" fontId="18"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0" xfId="0" applyFont="1" applyBorder="1" applyAlignment="1">
      <alignment horizontal="center" vertical="center" wrapText="1"/>
    </xf>
    <xf numFmtId="0" fontId="64" fillId="0" borderId="1" xfId="0" applyFont="1" applyBorder="1" applyAlignment="1">
      <alignment horizontal="center" vertical="center" wrapText="1"/>
    </xf>
    <xf numFmtId="0" fontId="64" fillId="0" borderId="6" xfId="0" applyFont="1" applyBorder="1" applyAlignment="1">
      <alignment horizontal="center" vertical="center" wrapText="1"/>
    </xf>
    <xf numFmtId="0" fontId="64" fillId="0" borderId="10" xfId="0" applyFont="1" applyBorder="1" applyAlignment="1">
      <alignment horizontal="center" vertical="center" wrapText="1"/>
    </xf>
    <xf numFmtId="188" fontId="64" fillId="0" borderId="1" xfId="1" applyNumberFormat="1" applyFont="1" applyFill="1" applyBorder="1" applyAlignment="1">
      <alignment horizontal="center" vertical="center" wrapText="1"/>
    </xf>
    <xf numFmtId="188" fontId="64" fillId="0" borderId="6" xfId="1" applyNumberFormat="1" applyFont="1" applyFill="1" applyBorder="1" applyAlignment="1">
      <alignment horizontal="center" vertical="center" wrapText="1"/>
    </xf>
    <xf numFmtId="188" fontId="64" fillId="0" borderId="10" xfId="1" applyNumberFormat="1" applyFont="1" applyFill="1" applyBorder="1" applyAlignment="1">
      <alignment horizontal="center" vertical="center" wrapText="1"/>
    </xf>
    <xf numFmtId="0" fontId="64" fillId="0" borderId="5" xfId="0" applyFont="1" applyBorder="1" applyAlignment="1">
      <alignment horizontal="center" vertical="top" wrapText="1"/>
    </xf>
    <xf numFmtId="0" fontId="18" fillId="0" borderId="5" xfId="0" applyFont="1" applyBorder="1" applyAlignment="1">
      <alignment horizontal="center" vertical="center"/>
    </xf>
    <xf numFmtId="0" fontId="6" fillId="0" borderId="1" xfId="0" applyFont="1" applyBorder="1" applyAlignment="1">
      <alignment horizontal="center" vertical="top" wrapText="1"/>
    </xf>
    <xf numFmtId="0" fontId="6" fillId="0" borderId="6" xfId="0" applyFont="1" applyBorder="1" applyAlignment="1">
      <alignment horizontal="center"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3" xfId="0" applyFont="1" applyFill="1" applyBorder="1" applyAlignment="1">
      <alignment horizontal="left" vertical="top" wrapText="1"/>
    </xf>
    <xf numFmtId="0" fontId="6" fillId="0" borderId="1" xfId="0" applyFont="1" applyBorder="1" applyAlignment="1">
      <alignment vertical="top" wrapText="1"/>
    </xf>
    <xf numFmtId="0" fontId="0" fillId="0" borderId="10" xfId="0" applyBorder="1" applyAlignment="1">
      <alignment vertical="top" wrapText="1"/>
    </xf>
    <xf numFmtId="0" fontId="6" fillId="0" borderId="1" xfId="0" applyFont="1" applyBorder="1" applyAlignment="1">
      <alignment horizontal="center" vertical="top"/>
    </xf>
    <xf numFmtId="0" fontId="0" fillId="0" borderId="10" xfId="0" applyBorder="1" applyAlignment="1">
      <alignment horizontal="center" vertical="top"/>
    </xf>
    <xf numFmtId="0" fontId="6" fillId="0" borderId="5" xfId="0" applyFont="1" applyBorder="1" applyAlignment="1">
      <alignment horizontal="center" vertical="top" wrapText="1"/>
    </xf>
    <xf numFmtId="0" fontId="3" fillId="5" borderId="11" xfId="0" applyFont="1" applyFill="1" applyBorder="1" applyAlignment="1">
      <alignment horizontal="left" vertical="top" wrapText="1"/>
    </xf>
    <xf numFmtId="0" fontId="3" fillId="5" borderId="12" xfId="0" applyFont="1" applyFill="1" applyBorder="1" applyAlignment="1">
      <alignment horizontal="left" vertical="top" wrapText="1"/>
    </xf>
    <xf numFmtId="0" fontId="6" fillId="0" borderId="10" xfId="0" applyFont="1" applyBorder="1" applyAlignment="1">
      <alignment horizontal="center" vertical="top"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6" fillId="2" borderId="1" xfId="0" applyFont="1" applyFill="1" applyBorder="1" applyAlignment="1">
      <alignment horizontal="left" vertical="top" wrapText="1"/>
    </xf>
    <xf numFmtId="0" fontId="6" fillId="2" borderId="10" xfId="0" applyFont="1" applyFill="1" applyBorder="1" applyAlignment="1">
      <alignment horizontal="left" vertical="top" wrapText="1"/>
    </xf>
    <xf numFmtId="0" fontId="8" fillId="0" borderId="1" xfId="0" applyFont="1" applyBorder="1" applyAlignment="1">
      <alignment horizontal="center" vertical="top" wrapText="1"/>
    </xf>
    <xf numFmtId="0" fontId="8" fillId="0" borderId="6" xfId="0" applyFont="1" applyBorder="1" applyAlignment="1">
      <alignment horizontal="center" vertical="top" wrapText="1"/>
    </xf>
    <xf numFmtId="0" fontId="8" fillId="0" borderId="1" xfId="0" applyFont="1" applyBorder="1" applyAlignment="1">
      <alignment horizontal="left" vertical="top" wrapText="1"/>
    </xf>
    <xf numFmtId="0" fontId="8" fillId="0" borderId="6" xfId="0" applyFont="1" applyBorder="1" applyAlignment="1">
      <alignment horizontal="left" vertical="top" wrapText="1"/>
    </xf>
    <xf numFmtId="0" fontId="3" fillId="3" borderId="11" xfId="0" applyFont="1" applyFill="1" applyBorder="1" applyAlignment="1">
      <alignment horizontal="center"/>
    </xf>
    <xf numFmtId="0" fontId="3" fillId="3" borderId="12" xfId="0" applyFont="1" applyFill="1" applyBorder="1" applyAlignment="1">
      <alignment horizontal="center"/>
    </xf>
    <xf numFmtId="0" fontId="4"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6" fillId="0" borderId="1" xfId="0" applyFont="1" applyBorder="1" applyAlignment="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8" fillId="0" borderId="5" xfId="0" applyFont="1" applyBorder="1" applyAlignment="1">
      <alignment horizontal="center" vertical="top" wrapText="1"/>
    </xf>
    <xf numFmtId="0" fontId="3" fillId="5" borderId="11" xfId="0" applyFont="1" applyFill="1" applyBorder="1" applyAlignment="1">
      <alignment horizontal="left" vertical="top"/>
    </xf>
    <xf numFmtId="0" fontId="3" fillId="5" borderId="12" xfId="0" applyFont="1" applyFill="1" applyBorder="1" applyAlignment="1">
      <alignment horizontal="left" vertical="top"/>
    </xf>
    <xf numFmtId="0" fontId="3" fillId="5" borderId="13" xfId="0" applyFont="1" applyFill="1" applyBorder="1" applyAlignment="1">
      <alignment horizontal="left" vertical="top"/>
    </xf>
    <xf numFmtId="0" fontId="8" fillId="0" borderId="10" xfId="0" applyFont="1" applyBorder="1" applyAlignment="1">
      <alignment horizontal="center" vertical="top"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vertical="center" wrapText="1"/>
    </xf>
    <xf numFmtId="0" fontId="10" fillId="0" borderId="20" xfId="0" applyFont="1" applyBorder="1" applyAlignment="1">
      <alignment vertical="center" wrapText="1"/>
    </xf>
    <xf numFmtId="0" fontId="10" fillId="0" borderId="23" xfId="0" applyFont="1" applyBorder="1" applyAlignment="1">
      <alignment horizontal="center" vertical="center"/>
    </xf>
    <xf numFmtId="0" fontId="10" fillId="0" borderId="23" xfId="0" applyFont="1" applyBorder="1" applyAlignment="1">
      <alignment vertical="center" wrapText="1"/>
    </xf>
    <xf numFmtId="0" fontId="10" fillId="0" borderId="25" xfId="0" applyFont="1" applyBorder="1" applyAlignment="1">
      <alignment horizontal="center" vertical="center"/>
    </xf>
    <xf numFmtId="0" fontId="10" fillId="0" borderId="29" xfId="0" applyFont="1" applyBorder="1" applyAlignment="1">
      <alignment horizontal="center" vertical="center"/>
    </xf>
    <xf numFmtId="0" fontId="10" fillId="0" borderId="31" xfId="0" applyFont="1" applyBorder="1" applyAlignment="1">
      <alignment horizontal="center" vertical="center"/>
    </xf>
    <xf numFmtId="0" fontId="10" fillId="0" borderId="26" xfId="0" applyFont="1" applyBorder="1" applyAlignment="1">
      <alignment vertical="center" wrapText="1"/>
    </xf>
    <xf numFmtId="0" fontId="10" fillId="0" borderId="24" xfId="0" applyFont="1" applyBorder="1" applyAlignment="1">
      <alignment vertical="center" wrapText="1"/>
    </xf>
    <xf numFmtId="0" fontId="10" fillId="0" borderId="26"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8" xfId="0" applyFont="1" applyBorder="1" applyAlignment="1">
      <alignment vertical="center" wrapText="1"/>
    </xf>
    <xf numFmtId="0" fontId="10" fillId="0" borderId="30" xfId="0" applyFont="1" applyBorder="1" applyAlignment="1">
      <alignment vertical="center" wrapText="1"/>
    </xf>
    <xf numFmtId="0" fontId="10" fillId="0" borderId="33" xfId="0" applyFont="1" applyBorder="1" applyAlignment="1">
      <alignment vertical="center" wrapText="1"/>
    </xf>
    <xf numFmtId="0" fontId="10" fillId="0" borderId="21"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horizontal="center" vertical="center" wrapText="1"/>
    </xf>
    <xf numFmtId="0" fontId="10" fillId="0" borderId="24" xfId="0" applyFont="1" applyBorder="1" applyAlignment="1">
      <alignment horizontal="center" vertical="center" wrapText="1"/>
    </xf>
    <xf numFmtId="0" fontId="25" fillId="0" borderId="1" xfId="0" applyFont="1" applyBorder="1" applyAlignment="1">
      <alignment horizontal="center" vertical="top"/>
    </xf>
    <xf numFmtId="0" fontId="25" fillId="0" borderId="6" xfId="0" applyFont="1" applyBorder="1" applyAlignment="1">
      <alignment horizontal="center" vertical="top"/>
    </xf>
    <xf numFmtId="0" fontId="25" fillId="0" borderId="1" xfId="0" applyFont="1" applyBorder="1" applyAlignment="1">
      <alignment horizontal="center"/>
    </xf>
    <xf numFmtId="0" fontId="25" fillId="0" borderId="6" xfId="0" applyFont="1" applyBorder="1" applyAlignment="1">
      <alignment horizontal="center"/>
    </xf>
    <xf numFmtId="3" fontId="28" fillId="0" borderId="1" xfId="0" applyNumberFormat="1" applyFont="1" applyBorder="1" applyAlignment="1">
      <alignment horizontal="center" vertical="top"/>
    </xf>
    <xf numFmtId="3" fontId="28" fillId="0" borderId="6" xfId="0" applyNumberFormat="1" applyFont="1" applyBorder="1" applyAlignment="1">
      <alignment horizontal="center" vertical="top"/>
    </xf>
    <xf numFmtId="0" fontId="25" fillId="0" borderId="10" xfId="0" applyFont="1" applyBorder="1" applyAlignment="1">
      <alignment horizontal="center" vertical="top"/>
    </xf>
    <xf numFmtId="0" fontId="25" fillId="0" borderId="1" xfId="0" applyFont="1" applyBorder="1" applyAlignment="1">
      <alignment horizontal="left" vertical="top" wrapText="1"/>
    </xf>
    <xf numFmtId="0" fontId="25" fillId="0" borderId="6" xfId="0" applyFont="1" applyBorder="1" applyAlignment="1">
      <alignment horizontal="left" vertical="top" wrapText="1"/>
    </xf>
    <xf numFmtId="0" fontId="25" fillId="2" borderId="1" xfId="0" applyFont="1" applyFill="1" applyBorder="1" applyAlignment="1">
      <alignment horizontal="center" vertical="top"/>
    </xf>
    <xf numFmtId="0" fontId="25" fillId="2" borderId="6" xfId="0" applyFont="1" applyFill="1" applyBorder="1" applyAlignment="1">
      <alignment horizontal="center" vertical="top"/>
    </xf>
    <xf numFmtId="0" fontId="25" fillId="2" borderId="10" xfId="0" applyFont="1" applyFill="1" applyBorder="1" applyAlignment="1">
      <alignment horizontal="center" vertical="top"/>
    </xf>
    <xf numFmtId="0" fontId="28" fillId="0" borderId="0" xfId="0" applyFont="1" applyAlignment="1">
      <alignment horizontal="center"/>
    </xf>
    <xf numFmtId="0" fontId="25" fillId="0" borderId="1"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2" xfId="0" applyFont="1" applyBorder="1" applyAlignment="1">
      <alignment horizontal="center" vertical="top" wrapText="1"/>
    </xf>
    <xf numFmtId="0" fontId="26" fillId="0" borderId="4" xfId="0" applyFont="1" applyBorder="1" applyAlignment="1">
      <alignment horizontal="center" vertical="top" wrapText="1"/>
    </xf>
    <xf numFmtId="0" fontId="26" fillId="0" borderId="7" xfId="0" applyFont="1" applyBorder="1" applyAlignment="1">
      <alignment horizontal="center" vertical="top" wrapText="1"/>
    </xf>
    <xf numFmtId="0" fontId="26" fillId="0" borderId="9" xfId="0" applyFont="1" applyBorder="1" applyAlignment="1">
      <alignment horizontal="center" vertical="top" wrapText="1"/>
    </xf>
    <xf numFmtId="188" fontId="27" fillId="0" borderId="1" xfId="1" applyNumberFormat="1" applyFont="1" applyFill="1" applyBorder="1" applyAlignment="1">
      <alignment horizontal="center" vertical="center" wrapText="1"/>
    </xf>
    <xf numFmtId="188" fontId="27" fillId="0" borderId="6" xfId="1" applyNumberFormat="1" applyFont="1" applyFill="1" applyBorder="1" applyAlignment="1">
      <alignment horizontal="center" vertical="center" wrapText="1"/>
    </xf>
    <xf numFmtId="188" fontId="27" fillId="0" borderId="10" xfId="1" applyNumberFormat="1" applyFont="1" applyFill="1" applyBorder="1" applyAlignment="1">
      <alignment horizontal="center" vertical="center" wrapText="1"/>
    </xf>
    <xf numFmtId="0" fontId="26" fillId="0" borderId="5" xfId="0" applyFont="1" applyBorder="1" applyAlignment="1">
      <alignment horizontal="center" vertical="top" wrapText="1"/>
    </xf>
    <xf numFmtId="0" fontId="25" fillId="0" borderId="5" xfId="0" applyFont="1" applyBorder="1" applyAlignment="1">
      <alignment horizontal="center" vertical="center"/>
    </xf>
    <xf numFmtId="0" fontId="28" fillId="0" borderId="1"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0" xfId="0" applyFont="1" applyBorder="1" applyAlignment="1">
      <alignment horizontal="center" vertical="center" wrapText="1"/>
    </xf>
    <xf numFmtId="188" fontId="26" fillId="0" borderId="5" xfId="1" applyNumberFormat="1" applyFont="1" applyBorder="1" applyAlignment="1">
      <alignment horizontal="center" vertical="top" wrapText="1"/>
    </xf>
    <xf numFmtId="0" fontId="50" fillId="2" borderId="1" xfId="0" applyFont="1" applyFill="1" applyBorder="1" applyAlignment="1">
      <alignment horizontal="left" vertical="top" wrapText="1"/>
    </xf>
    <xf numFmtId="0" fontId="50" fillId="2" borderId="10" xfId="0" applyFont="1" applyFill="1" applyBorder="1" applyAlignment="1">
      <alignment horizontal="left" vertical="top" wrapText="1"/>
    </xf>
    <xf numFmtId="0" fontId="55" fillId="0" borderId="1" xfId="0" applyFont="1" applyBorder="1" applyAlignment="1">
      <alignment horizontal="center" vertical="top"/>
    </xf>
    <xf numFmtId="0" fontId="55" fillId="0" borderId="10" xfId="0" applyFont="1" applyBorder="1" applyAlignment="1">
      <alignment horizontal="center" vertical="top"/>
    </xf>
    <xf numFmtId="0" fontId="43" fillId="2" borderId="1" xfId="0" applyFont="1" applyFill="1" applyBorder="1" applyAlignment="1">
      <alignment horizontal="left" vertical="top" wrapText="1"/>
    </xf>
    <xf numFmtId="0" fontId="43" fillId="2" borderId="10" xfId="0" applyFont="1" applyFill="1" applyBorder="1" applyAlignment="1">
      <alignment horizontal="left" vertical="top" wrapText="1"/>
    </xf>
    <xf numFmtId="0" fontId="51" fillId="2" borderId="1" xfId="0" applyFont="1" applyFill="1" applyBorder="1" applyAlignment="1">
      <alignment horizontal="center" vertical="top" wrapText="1"/>
    </xf>
    <xf numFmtId="0" fontId="51" fillId="2" borderId="10" xfId="0" applyFont="1" applyFill="1" applyBorder="1" applyAlignment="1">
      <alignment horizontal="center" vertical="top" wrapText="1"/>
    </xf>
    <xf numFmtId="0" fontId="56" fillId="2" borderId="1" xfId="0" applyFont="1" applyFill="1" applyBorder="1" applyAlignment="1">
      <alignment horizontal="center" vertical="top"/>
    </xf>
    <xf numFmtId="0" fontId="56" fillId="2" borderId="6" xfId="0" applyFont="1" applyFill="1" applyBorder="1" applyAlignment="1">
      <alignment horizontal="center" vertical="top"/>
    </xf>
    <xf numFmtId="0" fontId="56" fillId="2" borderId="10" xfId="0" applyFont="1" applyFill="1" applyBorder="1" applyAlignment="1">
      <alignment horizontal="center" vertical="top"/>
    </xf>
    <xf numFmtId="0" fontId="51" fillId="2" borderId="6" xfId="0" applyFont="1" applyFill="1" applyBorder="1" applyAlignment="1">
      <alignment horizontal="center" vertical="top" wrapText="1"/>
    </xf>
    <xf numFmtId="0" fontId="43" fillId="6" borderId="11" xfId="0" applyFont="1" applyFill="1" applyBorder="1" applyAlignment="1">
      <alignment horizontal="left" vertical="center" wrapText="1"/>
    </xf>
    <xf numFmtId="0" fontId="43" fillId="6" borderId="12" xfId="0" applyFont="1" applyFill="1" applyBorder="1" applyAlignment="1">
      <alignment horizontal="left" vertical="center" wrapText="1"/>
    </xf>
    <xf numFmtId="0" fontId="43" fillId="6" borderId="13" xfId="0" applyFont="1" applyFill="1" applyBorder="1" applyAlignment="1">
      <alignment horizontal="left" vertical="center" wrapText="1"/>
    </xf>
    <xf numFmtId="0" fontId="43" fillId="2" borderId="1" xfId="0" applyFont="1" applyFill="1" applyBorder="1" applyAlignment="1">
      <alignment horizontal="center" vertical="top" wrapText="1"/>
    </xf>
    <xf numFmtId="0" fontId="43" fillId="2" borderId="10" xfId="0" applyFont="1" applyFill="1" applyBorder="1" applyAlignment="1">
      <alignment horizontal="center" vertical="top" wrapText="1"/>
    </xf>
    <xf numFmtId="0" fontId="50" fillId="2" borderId="1" xfId="0" applyFont="1" applyFill="1" applyBorder="1" applyAlignment="1">
      <alignment horizontal="center" vertical="top" wrapText="1"/>
    </xf>
    <xf numFmtId="0" fontId="50" fillId="2" borderId="10" xfId="0" applyFont="1" applyFill="1" applyBorder="1" applyAlignment="1">
      <alignment horizontal="center" vertical="top" wrapText="1"/>
    </xf>
    <xf numFmtId="0" fontId="46" fillId="0" borderId="1"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2" xfId="0" applyFont="1" applyBorder="1" applyAlignment="1">
      <alignment horizontal="center" vertical="top" wrapText="1"/>
    </xf>
    <xf numFmtId="0" fontId="47" fillId="0" borderId="4" xfId="0" applyFont="1" applyBorder="1" applyAlignment="1">
      <alignment horizontal="center" vertical="top" wrapText="1"/>
    </xf>
    <xf numFmtId="0" fontId="47" fillId="0" borderId="7" xfId="0" applyFont="1" applyBorder="1" applyAlignment="1">
      <alignment horizontal="center" vertical="top" wrapText="1"/>
    </xf>
    <xf numFmtId="0" fontId="47" fillId="0" borderId="9" xfId="0" applyFont="1" applyBorder="1" applyAlignment="1">
      <alignment horizontal="center" vertical="top" wrapText="1"/>
    </xf>
    <xf numFmtId="188" fontId="48" fillId="0" borderId="1" xfId="1" applyNumberFormat="1" applyFont="1" applyFill="1" applyBorder="1" applyAlignment="1">
      <alignment horizontal="center" vertical="center" wrapText="1"/>
    </xf>
    <xf numFmtId="188" fontId="48" fillId="0" borderId="6" xfId="1" applyNumberFormat="1" applyFont="1" applyFill="1" applyBorder="1" applyAlignment="1">
      <alignment horizontal="center" vertical="center" wrapText="1"/>
    </xf>
    <xf numFmtId="188" fontId="48" fillId="0" borderId="10" xfId="1" applyNumberFormat="1" applyFont="1" applyFill="1" applyBorder="1" applyAlignment="1">
      <alignment horizontal="center" vertical="center" wrapText="1"/>
    </xf>
    <xf numFmtId="0" fontId="47" fillId="0" borderId="5" xfId="0" applyFont="1" applyBorder="1" applyAlignment="1">
      <alignment horizontal="center" vertical="top" wrapText="1"/>
    </xf>
    <xf numFmtId="0" fontId="46" fillId="0" borderId="5" xfId="0" applyFont="1" applyBorder="1" applyAlignment="1">
      <alignment horizontal="center" vertical="center"/>
    </xf>
    <xf numFmtId="0" fontId="67" fillId="6" borderId="11" xfId="0" applyFont="1" applyFill="1" applyBorder="1" applyAlignment="1">
      <alignment horizontal="left" vertical="center" wrapText="1"/>
    </xf>
    <xf numFmtId="0" fontId="67" fillId="6" borderId="12" xfId="0" applyFont="1" applyFill="1" applyBorder="1" applyAlignment="1">
      <alignment horizontal="left" vertical="center" wrapText="1"/>
    </xf>
    <xf numFmtId="0" fontId="67" fillId="6" borderId="13" xfId="0" applyFont="1" applyFill="1" applyBorder="1" applyAlignment="1">
      <alignment horizontal="left" vertical="center" wrapText="1"/>
    </xf>
    <xf numFmtId="0" fontId="19" fillId="0" borderId="0" xfId="0" applyFont="1" applyAlignment="1">
      <alignment horizontal="center" vertical="center"/>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0" xfId="0" applyFont="1" applyBorder="1" applyAlignment="1">
      <alignment horizontal="center" vertical="center" wrapText="1"/>
    </xf>
    <xf numFmtId="0" fontId="67" fillId="0" borderId="1" xfId="0" applyFont="1" applyBorder="1" applyAlignment="1">
      <alignment horizontal="center" vertical="center" wrapText="1"/>
    </xf>
    <xf numFmtId="0" fontId="67" fillId="0" borderId="6"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2" xfId="0" applyFont="1" applyBorder="1" applyAlignment="1">
      <alignment horizontal="center" vertical="center" wrapText="1"/>
    </xf>
    <xf numFmtId="0" fontId="67" fillId="0" borderId="3" xfId="0" applyFont="1" applyBorder="1" applyAlignment="1">
      <alignment horizontal="center" vertical="center" wrapText="1"/>
    </xf>
    <xf numFmtId="0" fontId="67" fillId="0" borderId="4"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8" xfId="0" applyFont="1" applyBorder="1" applyAlignment="1">
      <alignment horizontal="center" vertical="center" wrapText="1"/>
    </xf>
    <xf numFmtId="0" fontId="67" fillId="0" borderId="9" xfId="0" applyFont="1" applyBorder="1" applyAlignment="1">
      <alignment horizontal="center" vertical="center" wrapText="1"/>
    </xf>
    <xf numFmtId="188" fontId="67" fillId="0" borderId="1" xfId="1" applyNumberFormat="1" applyFont="1" applyFill="1" applyBorder="1" applyAlignment="1">
      <alignment horizontal="center" vertical="center" wrapText="1"/>
    </xf>
    <xf numFmtId="188" fontId="67" fillId="0" borderId="6" xfId="1" applyNumberFormat="1" applyFont="1" applyFill="1" applyBorder="1" applyAlignment="1">
      <alignment horizontal="center" vertical="center" wrapText="1"/>
    </xf>
    <xf numFmtId="188" fontId="67" fillId="0" borderId="10" xfId="1" applyNumberFormat="1" applyFont="1" applyFill="1" applyBorder="1" applyAlignment="1">
      <alignment horizontal="center" vertical="center" wrapText="1"/>
    </xf>
    <xf numFmtId="0" fontId="67" fillId="2" borderId="5" xfId="0" applyFont="1" applyFill="1" applyBorder="1" applyAlignment="1">
      <alignment horizontal="center" vertical="center" wrapText="1"/>
    </xf>
    <xf numFmtId="0" fontId="67" fillId="2" borderId="1" xfId="0" applyFont="1" applyFill="1" applyBorder="1" applyAlignment="1">
      <alignment horizontal="center" vertical="center" wrapText="1"/>
    </xf>
    <xf numFmtId="0" fontId="67" fillId="2" borderId="6" xfId="0" applyFont="1" applyFill="1" applyBorder="1" applyAlignment="1">
      <alignment horizontal="center" vertical="center" wrapText="1"/>
    </xf>
    <xf numFmtId="0" fontId="67" fillId="2" borderId="10"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188" fontId="19" fillId="0" borderId="1" xfId="0" applyNumberFormat="1" applyFont="1" applyBorder="1" applyAlignment="1">
      <alignment horizontal="center" vertical="center"/>
    </xf>
    <xf numFmtId="188" fontId="19" fillId="0" borderId="6" xfId="0" applyNumberFormat="1" applyFont="1" applyBorder="1" applyAlignment="1">
      <alignment horizontal="center" vertical="center"/>
    </xf>
    <xf numFmtId="188" fontId="19" fillId="0" borderId="10" xfId="0" applyNumberFormat="1" applyFont="1" applyBorder="1" applyAlignment="1">
      <alignment horizontal="center" vertical="center"/>
    </xf>
    <xf numFmtId="0" fontId="115" fillId="6" borderId="11" xfId="0" applyFont="1" applyFill="1" applyBorder="1" applyAlignment="1">
      <alignment horizontal="left" vertical="center" wrapText="1" readingOrder="1"/>
    </xf>
    <xf numFmtId="0" fontId="115" fillId="6" borderId="12" xfId="0" applyFont="1" applyFill="1" applyBorder="1" applyAlignment="1">
      <alignment horizontal="left" vertical="center" wrapText="1" readingOrder="1"/>
    </xf>
    <xf numFmtId="0" fontId="115" fillId="6" borderId="13" xfId="0" applyFont="1" applyFill="1" applyBorder="1" applyAlignment="1">
      <alignment horizontal="left" vertical="center" wrapText="1" readingOrder="1"/>
    </xf>
    <xf numFmtId="0" fontId="19" fillId="0" borderId="13" xfId="0" applyFont="1" applyBorder="1" applyAlignment="1">
      <alignment vertical="center" wrapText="1"/>
    </xf>
    <xf numFmtId="0" fontId="19" fillId="0" borderId="5" xfId="0" applyFont="1" applyBorder="1" applyAlignment="1">
      <alignment vertical="center" wrapText="1"/>
    </xf>
    <xf numFmtId="0" fontId="67" fillId="0" borderId="5" xfId="0" applyFont="1" applyBorder="1" applyAlignment="1">
      <alignment horizontal="center" vertical="center" wrapText="1"/>
    </xf>
    <xf numFmtId="188" fontId="67" fillId="0" borderId="5" xfId="1" applyNumberFormat="1" applyFont="1" applyFill="1" applyBorder="1" applyAlignment="1">
      <alignment horizontal="center" vertical="center" wrapText="1"/>
    </xf>
    <xf numFmtId="0" fontId="115" fillId="6" borderId="11" xfId="21" applyFont="1" applyFill="1" applyBorder="1" applyAlignment="1">
      <alignment horizontal="left" vertical="center" wrapText="1"/>
    </xf>
    <xf numFmtId="0" fontId="115" fillId="6" borderId="12" xfId="21" applyFont="1" applyFill="1" applyBorder="1" applyAlignment="1">
      <alignment horizontal="left" vertical="center" wrapText="1"/>
    </xf>
    <xf numFmtId="0" fontId="115" fillId="6" borderId="13" xfId="21" applyFont="1" applyFill="1" applyBorder="1" applyAlignment="1">
      <alignment horizontal="left" vertical="center" wrapText="1"/>
    </xf>
    <xf numFmtId="0" fontId="19" fillId="6" borderId="11" xfId="9" applyFont="1" applyFill="1" applyBorder="1" applyAlignment="1">
      <alignment horizontal="left"/>
    </xf>
    <xf numFmtId="0" fontId="19" fillId="6" borderId="12" xfId="9" applyFont="1" applyFill="1" applyBorder="1" applyAlignment="1">
      <alignment horizontal="left"/>
    </xf>
    <xf numFmtId="0" fontId="19" fillId="6" borderId="13" xfId="9" applyFont="1" applyFill="1" applyBorder="1" applyAlignment="1">
      <alignment horizontal="left"/>
    </xf>
    <xf numFmtId="0" fontId="69" fillId="0" borderId="1" xfId="0" applyFont="1" applyBorder="1" applyAlignment="1">
      <alignment horizontal="center" vertical="center" wrapText="1"/>
    </xf>
    <xf numFmtId="0" fontId="69" fillId="0" borderId="6" xfId="0" applyFont="1" applyBorder="1" applyAlignment="1">
      <alignment horizontal="center" vertical="center" wrapText="1"/>
    </xf>
    <xf numFmtId="0" fontId="69" fillId="0" borderId="2" xfId="0" applyFont="1" applyBorder="1" applyAlignment="1">
      <alignment horizontal="left" vertical="top" wrapText="1"/>
    </xf>
    <xf numFmtId="0" fontId="69" fillId="0" borderId="7" xfId="0" applyFont="1" applyBorder="1" applyAlignment="1">
      <alignment horizontal="left" vertical="top" wrapText="1"/>
    </xf>
    <xf numFmtId="0" fontId="19" fillId="0" borderId="5" xfId="0" applyFont="1" applyBorder="1" applyAlignment="1">
      <alignment horizontal="center" vertical="center"/>
    </xf>
    <xf numFmtId="0" fontId="20" fillId="0" borderId="1" xfId="0" applyFont="1" applyBorder="1" applyAlignment="1">
      <alignment horizontal="left" vertical="top" wrapText="1"/>
    </xf>
    <xf numFmtId="0" fontId="20" fillId="0" borderId="10" xfId="0" applyFont="1" applyBorder="1" applyAlignment="1">
      <alignment horizontal="left" vertical="top" wrapText="1"/>
    </xf>
    <xf numFmtId="49" fontId="20" fillId="0" borderId="6" xfId="13" applyNumberFormat="1" applyFont="1" applyFill="1" applyBorder="1" applyAlignment="1">
      <alignment horizontal="left" vertical="top" wrapText="1"/>
    </xf>
    <xf numFmtId="49" fontId="20" fillId="0" borderId="10" xfId="13" applyNumberFormat="1" applyFont="1" applyFill="1" applyBorder="1" applyAlignment="1">
      <alignment horizontal="left" vertical="top" wrapText="1"/>
    </xf>
    <xf numFmtId="0" fontId="67" fillId="6" borderId="11" xfId="0" applyFont="1" applyFill="1" applyBorder="1" applyAlignment="1">
      <alignment horizontal="left" vertical="top"/>
    </xf>
    <xf numFmtId="0" fontId="67" fillId="6" borderId="12" xfId="0" applyFont="1" applyFill="1" applyBorder="1" applyAlignment="1">
      <alignment horizontal="left" vertical="top"/>
    </xf>
    <xf numFmtId="0" fontId="67" fillId="6" borderId="13" xfId="0" applyFont="1" applyFill="1" applyBorder="1" applyAlignment="1">
      <alignment horizontal="left" vertical="top"/>
    </xf>
    <xf numFmtId="188" fontId="104" fillId="0" borderId="1" xfId="1" applyNumberFormat="1" applyFont="1" applyFill="1" applyBorder="1" applyAlignment="1">
      <alignment horizontal="center" vertical="top" wrapText="1"/>
    </xf>
    <xf numFmtId="188" fontId="104" fillId="0" borderId="10" xfId="1" applyNumberFormat="1" applyFont="1" applyFill="1" applyBorder="1" applyAlignment="1">
      <alignment horizontal="center" vertical="top" wrapText="1"/>
    </xf>
    <xf numFmtId="0" fontId="69" fillId="0" borderId="1" xfId="1" applyNumberFormat="1" applyFont="1" applyFill="1" applyBorder="1" applyAlignment="1">
      <alignment horizontal="left" vertical="top" wrapText="1"/>
    </xf>
    <xf numFmtId="0" fontId="69" fillId="0" borderId="10" xfId="1" applyNumberFormat="1" applyFont="1" applyFill="1" applyBorder="1" applyAlignment="1">
      <alignment horizontal="left" vertical="top" wrapText="1"/>
    </xf>
    <xf numFmtId="188" fontId="69" fillId="0" borderId="1" xfId="1" applyNumberFormat="1" applyFont="1" applyFill="1" applyBorder="1" applyAlignment="1">
      <alignment horizontal="center" vertical="top" wrapText="1"/>
    </xf>
    <xf numFmtId="188" fontId="69" fillId="0" borderId="10" xfId="1" applyNumberFormat="1" applyFont="1" applyFill="1" applyBorder="1" applyAlignment="1">
      <alignment horizontal="center" vertical="top" wrapText="1"/>
    </xf>
    <xf numFmtId="188" fontId="20" fillId="0" borderId="1" xfId="1" applyNumberFormat="1" applyFont="1" applyFill="1" applyBorder="1" applyAlignment="1">
      <alignment horizontal="center" vertical="top" wrapText="1"/>
    </xf>
    <xf numFmtId="188" fontId="20" fillId="0" borderId="10" xfId="1" applyNumberFormat="1" applyFont="1" applyFill="1" applyBorder="1" applyAlignment="1">
      <alignment horizontal="center" vertical="top" wrapText="1"/>
    </xf>
    <xf numFmtId="188" fontId="20" fillId="0" borderId="1" xfId="1" applyNumberFormat="1" applyFont="1" applyFill="1" applyBorder="1" applyAlignment="1">
      <alignment horizontal="left" vertical="top" wrapText="1"/>
    </xf>
    <xf numFmtId="188" fontId="20" fillId="0" borderId="10" xfId="1" applyNumberFormat="1" applyFont="1" applyFill="1" applyBorder="1" applyAlignment="1">
      <alignment horizontal="left" vertical="top" wrapText="1"/>
    </xf>
    <xf numFmtId="0" fontId="20" fillId="0" borderId="1" xfId="0" applyFont="1" applyBorder="1" applyAlignment="1">
      <alignment horizontal="center" vertical="top"/>
    </xf>
    <xf numFmtId="0" fontId="20" fillId="0" borderId="10" xfId="0" applyFont="1" applyBorder="1" applyAlignment="1">
      <alignment horizontal="center" vertical="top"/>
    </xf>
    <xf numFmtId="0" fontId="20" fillId="0" borderId="6" xfId="0" applyFont="1" applyBorder="1" applyAlignment="1">
      <alignment horizontal="center" vertical="top"/>
    </xf>
    <xf numFmtId="188" fontId="20" fillId="0" borderId="6" xfId="1" applyNumberFormat="1" applyFont="1" applyFill="1" applyBorder="1" applyAlignment="1">
      <alignment horizontal="center" vertical="top" wrapText="1"/>
    </xf>
    <xf numFmtId="0" fontId="69" fillId="0" borderId="1" xfId="0" applyFont="1" applyBorder="1" applyAlignment="1">
      <alignment horizontal="left" vertical="top" wrapText="1"/>
    </xf>
    <xf numFmtId="0" fontId="69" fillId="0" borderId="6" xfId="0" applyFont="1" applyBorder="1" applyAlignment="1">
      <alignment horizontal="left" vertical="top" wrapText="1"/>
    </xf>
    <xf numFmtId="188" fontId="20" fillId="0" borderId="6" xfId="1" applyNumberFormat="1" applyFont="1" applyFill="1" applyBorder="1" applyAlignment="1">
      <alignment horizontal="left" vertical="top" wrapText="1"/>
    </xf>
    <xf numFmtId="3" fontId="69" fillId="0" borderId="1" xfId="0" applyNumberFormat="1" applyFont="1" applyBorder="1" applyAlignment="1">
      <alignment horizontal="center" vertical="top"/>
    </xf>
    <xf numFmtId="3" fontId="69" fillId="0" borderId="6" xfId="0" applyNumberFormat="1" applyFont="1" applyBorder="1" applyAlignment="1">
      <alignment horizontal="center" vertical="top"/>
    </xf>
    <xf numFmtId="3" fontId="69" fillId="0" borderId="10" xfId="0" applyNumberFormat="1" applyFont="1" applyBorder="1" applyAlignment="1">
      <alignment horizontal="center" vertical="top"/>
    </xf>
    <xf numFmtId="188" fontId="69" fillId="0" borderId="1" xfId="1" applyNumberFormat="1" applyFont="1" applyFill="1" applyBorder="1" applyAlignment="1">
      <alignment horizontal="center" vertical="top"/>
    </xf>
    <xf numFmtId="188" fontId="69" fillId="0" borderId="6" xfId="1" applyNumberFormat="1" applyFont="1" applyFill="1" applyBorder="1" applyAlignment="1">
      <alignment horizontal="center" vertical="top"/>
    </xf>
    <xf numFmtId="188" fontId="69" fillId="0" borderId="10" xfId="1" applyNumberFormat="1" applyFont="1" applyFill="1" applyBorder="1" applyAlignment="1">
      <alignment horizontal="center" vertical="top"/>
    </xf>
    <xf numFmtId="0" fontId="69" fillId="0" borderId="1" xfId="0" applyFont="1" applyBorder="1" applyAlignment="1">
      <alignment horizontal="center" vertical="top"/>
    </xf>
    <xf numFmtId="0" fontId="69" fillId="0" borderId="6" xfId="0" applyFont="1" applyBorder="1" applyAlignment="1">
      <alignment horizontal="center" vertical="top"/>
    </xf>
    <xf numFmtId="0" fontId="69" fillId="0" borderId="10" xfId="0" applyFont="1" applyBorder="1" applyAlignment="1">
      <alignment horizontal="center" vertical="top"/>
    </xf>
    <xf numFmtId="0" fontId="20" fillId="0" borderId="0" xfId="0" applyFont="1" applyAlignment="1">
      <alignment horizontal="center" vertical="center"/>
    </xf>
    <xf numFmtId="0" fontId="69" fillId="0" borderId="1" xfId="0" applyFont="1" applyBorder="1" applyAlignment="1">
      <alignment horizontal="center"/>
    </xf>
    <xf numFmtId="0" fontId="69" fillId="0" borderId="6" xfId="0" applyFont="1" applyBorder="1" applyAlignment="1">
      <alignment horizontal="center"/>
    </xf>
    <xf numFmtId="0" fontId="69" fillId="0" borderId="10" xfId="0" applyFont="1" applyBorder="1" applyAlignment="1">
      <alignment horizontal="center"/>
    </xf>
    <xf numFmtId="0" fontId="20" fillId="0" borderId="1" xfId="0" applyFont="1" applyBorder="1" applyAlignment="1">
      <alignment horizontal="center"/>
    </xf>
    <xf numFmtId="0" fontId="20" fillId="0" borderId="10" xfId="0" applyFont="1" applyBorder="1" applyAlignment="1">
      <alignment horizontal="center"/>
    </xf>
    <xf numFmtId="0" fontId="19" fillId="0" borderId="1" xfId="0" applyFont="1" applyBorder="1" applyAlignment="1">
      <alignment horizontal="center" vertical="top"/>
    </xf>
    <xf numFmtId="0" fontId="19" fillId="0" borderId="10" xfId="0" applyFont="1" applyBorder="1" applyAlignment="1">
      <alignment horizontal="center" vertical="top"/>
    </xf>
    <xf numFmtId="0" fontId="69" fillId="0" borderId="1" xfId="0" applyFont="1" applyBorder="1" applyAlignment="1">
      <alignment horizontal="center" vertical="top" wrapText="1"/>
    </xf>
    <xf numFmtId="0" fontId="69" fillId="0" borderId="10" xfId="0" applyFont="1" applyBorder="1" applyAlignment="1">
      <alignment horizontal="center" vertical="top" wrapText="1"/>
    </xf>
    <xf numFmtId="0" fontId="69" fillId="2" borderId="1" xfId="0" applyFont="1" applyFill="1" applyBorder="1" applyAlignment="1">
      <alignment horizontal="center" vertical="top" wrapText="1"/>
    </xf>
    <xf numFmtId="0" fontId="69" fillId="2" borderId="10" xfId="0" applyFont="1" applyFill="1" applyBorder="1" applyAlignment="1">
      <alignment horizontal="center" vertical="top" wrapText="1"/>
    </xf>
    <xf numFmtId="0" fontId="20" fillId="0" borderId="4" xfId="0" applyFont="1" applyBorder="1" applyAlignment="1">
      <alignment horizontal="left" vertical="top" wrapText="1"/>
    </xf>
    <xf numFmtId="0" fontId="20" fillId="0" borderId="35" xfId="0" applyFont="1" applyBorder="1" applyAlignment="1">
      <alignment horizontal="left" vertical="top" wrapText="1"/>
    </xf>
    <xf numFmtId="0" fontId="20" fillId="0" borderId="9" xfId="0" applyFont="1" applyBorder="1" applyAlignment="1">
      <alignment horizontal="left" vertical="top" wrapText="1"/>
    </xf>
    <xf numFmtId="0" fontId="69" fillId="0" borderId="6" xfId="0" applyFont="1" applyBorder="1" applyAlignment="1">
      <alignment horizontal="center" vertical="top" wrapText="1"/>
    </xf>
    <xf numFmtId="0" fontId="69" fillId="2" borderId="6" xfId="0" applyFont="1" applyFill="1" applyBorder="1" applyAlignment="1">
      <alignment horizontal="center" vertical="top" wrapText="1"/>
    </xf>
    <xf numFmtId="0" fontId="69" fillId="0" borderId="10" xfId="0" applyFont="1" applyBorder="1" applyAlignment="1">
      <alignment horizontal="center" vertical="center" wrapText="1"/>
    </xf>
    <xf numFmtId="0" fontId="67" fillId="0" borderId="5" xfId="0" applyFont="1" applyBorder="1" applyAlignment="1">
      <alignment horizontal="center" vertical="top" wrapText="1"/>
    </xf>
    <xf numFmtId="0" fontId="19" fillId="0" borderId="5" xfId="0" applyFont="1" applyBorder="1" applyAlignment="1">
      <alignment horizontal="center" vertical="top"/>
    </xf>
    <xf numFmtId="0" fontId="69" fillId="2" borderId="1" xfId="0" applyFont="1" applyFill="1" applyBorder="1" applyAlignment="1">
      <alignment horizontal="center" vertical="center" wrapText="1"/>
    </xf>
    <xf numFmtId="0" fontId="69" fillId="2" borderId="6" xfId="0" applyFont="1" applyFill="1" applyBorder="1" applyAlignment="1">
      <alignment horizontal="center" vertical="center" wrapText="1"/>
    </xf>
    <xf numFmtId="0" fontId="69" fillId="2" borderId="10" xfId="0" applyFont="1" applyFill="1" applyBorder="1" applyAlignment="1">
      <alignment horizontal="center" vertical="center" wrapText="1"/>
    </xf>
    <xf numFmtId="0" fontId="67" fillId="2" borderId="5" xfId="0" applyFont="1" applyFill="1" applyBorder="1" applyAlignment="1">
      <alignment horizontal="center" vertical="top" wrapText="1"/>
    </xf>
    <xf numFmtId="0" fontId="19" fillId="2" borderId="5" xfId="0" applyFont="1" applyFill="1" applyBorder="1" applyAlignment="1">
      <alignment horizontal="center" vertical="top"/>
    </xf>
    <xf numFmtId="0" fontId="20" fillId="2" borderId="1" xfId="0" applyFont="1" applyFill="1" applyBorder="1" applyAlignment="1">
      <alignment horizontal="center"/>
    </xf>
    <xf numFmtId="0" fontId="20" fillId="2" borderId="10" xfId="0" applyFont="1" applyFill="1" applyBorder="1" applyAlignment="1">
      <alignment horizontal="center"/>
    </xf>
    <xf numFmtId="0" fontId="20" fillId="2" borderId="1" xfId="0" applyFont="1" applyFill="1" applyBorder="1" applyAlignment="1">
      <alignment horizontal="center" vertical="top"/>
    </xf>
    <xf numFmtId="0" fontId="20" fillId="2" borderId="10" xfId="0" applyFont="1" applyFill="1" applyBorder="1" applyAlignment="1">
      <alignment horizontal="center" vertical="top"/>
    </xf>
    <xf numFmtId="0" fontId="20" fillId="2" borderId="1" xfId="0" applyFont="1" applyFill="1" applyBorder="1" applyAlignment="1">
      <alignment horizontal="left" vertical="top" wrapText="1"/>
    </xf>
    <xf numFmtId="0" fontId="20" fillId="2" borderId="10" xfId="0" applyFont="1" applyFill="1" applyBorder="1" applyAlignment="1">
      <alignment horizontal="left" vertical="top" wrapText="1"/>
    </xf>
    <xf numFmtId="0" fontId="67" fillId="2" borderId="6" xfId="0" applyFont="1" applyFill="1" applyBorder="1" applyAlignment="1">
      <alignment horizontal="center" vertical="top" wrapText="1"/>
    </xf>
    <xf numFmtId="0" fontId="67" fillId="2" borderId="10" xfId="0" applyFont="1" applyFill="1" applyBorder="1" applyAlignment="1">
      <alignment horizontal="center" vertical="top" wrapText="1"/>
    </xf>
    <xf numFmtId="0" fontId="20" fillId="0" borderId="4" xfId="0" applyFont="1" applyBorder="1" applyAlignment="1">
      <alignment horizontal="center"/>
    </xf>
    <xf numFmtId="0" fontId="20" fillId="0" borderId="35" xfId="0" applyFont="1" applyBorder="1" applyAlignment="1">
      <alignment horizontal="center"/>
    </xf>
    <xf numFmtId="0" fontId="20" fillId="0" borderId="1" xfId="0" applyFont="1" applyBorder="1" applyAlignment="1">
      <alignment horizontal="center" vertical="top" wrapText="1"/>
    </xf>
    <xf numFmtId="0" fontId="20" fillId="0" borderId="10" xfId="0" applyFont="1" applyBorder="1" applyAlignment="1">
      <alignment horizontal="center" vertical="top" wrapText="1"/>
    </xf>
    <xf numFmtId="0" fontId="19" fillId="0" borderId="1" xfId="0" applyFont="1" applyBorder="1" applyAlignment="1">
      <alignment horizontal="center"/>
    </xf>
    <xf numFmtId="0" fontId="19" fillId="0" borderId="10" xfId="0" applyFont="1" applyBorder="1" applyAlignment="1">
      <alignment horizontal="center"/>
    </xf>
    <xf numFmtId="0" fontId="67" fillId="0" borderId="1" xfId="0" applyFont="1" applyBorder="1" applyAlignment="1">
      <alignment horizontal="center" vertical="top" wrapText="1"/>
    </xf>
    <xf numFmtId="0" fontId="67" fillId="0" borderId="10" xfId="0" applyFont="1" applyBorder="1" applyAlignment="1">
      <alignment horizontal="center" vertical="top" wrapText="1"/>
    </xf>
    <xf numFmtId="0" fontId="19" fillId="0" borderId="6" xfId="0" applyFont="1" applyBorder="1" applyAlignment="1">
      <alignment horizontal="center" vertical="top"/>
    </xf>
    <xf numFmtId="0" fontId="20" fillId="0" borderId="6" xfId="0" applyFont="1" applyBorder="1" applyAlignment="1">
      <alignment horizontal="left" vertical="top" wrapText="1"/>
    </xf>
    <xf numFmtId="0" fontId="20" fillId="0" borderId="6" xfId="0" applyFont="1" applyBorder="1" applyAlignment="1">
      <alignment horizontal="center" vertical="top" wrapText="1"/>
    </xf>
    <xf numFmtId="0" fontId="19" fillId="0" borderId="6" xfId="0" applyFont="1" applyBorder="1" applyAlignment="1">
      <alignment horizontal="center"/>
    </xf>
    <xf numFmtId="0" fontId="67" fillId="0" borderId="6" xfId="0" applyFont="1" applyBorder="1" applyAlignment="1">
      <alignment horizontal="center" vertical="top" wrapText="1"/>
    </xf>
    <xf numFmtId="0" fontId="19" fillId="0" borderId="5" xfId="0" applyFont="1" applyBorder="1" applyAlignment="1">
      <alignment horizontal="center"/>
    </xf>
    <xf numFmtId="0" fontId="20" fillId="0" borderId="5" xfId="0" applyFont="1" applyBorder="1" applyAlignment="1">
      <alignment horizontal="left" vertical="top" wrapText="1"/>
    </xf>
    <xf numFmtId="0" fontId="20" fillId="0" borderId="5" xfId="0" applyFont="1" applyBorder="1" applyAlignment="1">
      <alignment horizontal="center" vertical="top" wrapText="1"/>
    </xf>
    <xf numFmtId="0" fontId="69" fillId="0" borderId="5" xfId="0" applyFont="1" applyBorder="1" applyAlignment="1">
      <alignment horizontal="center" vertical="center" wrapText="1"/>
    </xf>
    <xf numFmtId="0" fontId="20" fillId="2" borderId="6" xfId="0" applyFont="1" applyFill="1" applyBorder="1" applyAlignment="1">
      <alignment horizontal="center" vertical="top"/>
    </xf>
    <xf numFmtId="0" fontId="20" fillId="0" borderId="6" xfId="0" applyFont="1" applyBorder="1" applyAlignment="1">
      <alignment horizontal="center"/>
    </xf>
    <xf numFmtId="0" fontId="20" fillId="0" borderId="1" xfId="2" applyFont="1" applyBorder="1" applyAlignment="1">
      <alignment horizontal="center" vertical="top" wrapText="1"/>
    </xf>
    <xf numFmtId="0" fontId="20" fillId="0" borderId="6" xfId="2" applyFont="1" applyBorder="1" applyAlignment="1">
      <alignment horizontal="center" vertical="top" wrapText="1"/>
    </xf>
    <xf numFmtId="0" fontId="20" fillId="0" borderId="10" xfId="2" applyFont="1" applyBorder="1" applyAlignment="1">
      <alignment horizontal="center" vertical="top" wrapText="1"/>
    </xf>
    <xf numFmtId="0" fontId="140" fillId="2" borderId="1" xfId="0" applyFont="1" applyFill="1" applyBorder="1" applyAlignment="1">
      <alignment horizontal="center" vertical="top" wrapText="1"/>
    </xf>
    <xf numFmtId="0" fontId="140" fillId="2" borderId="6" xfId="0" applyFont="1" applyFill="1" applyBorder="1" applyAlignment="1">
      <alignment horizontal="center" vertical="top" wrapText="1"/>
    </xf>
    <xf numFmtId="0" fontId="140" fillId="2" borderId="10" xfId="0" applyFont="1" applyFill="1" applyBorder="1" applyAlignment="1">
      <alignment horizontal="center" vertical="top" wrapText="1"/>
    </xf>
    <xf numFmtId="0" fontId="20" fillId="2" borderId="1" xfId="0" applyFont="1" applyFill="1" applyBorder="1" applyAlignment="1">
      <alignment horizontal="center" vertical="top" wrapText="1"/>
    </xf>
    <xf numFmtId="0" fontId="20" fillId="2" borderId="6" xfId="0" applyFont="1" applyFill="1" applyBorder="1" applyAlignment="1">
      <alignment horizontal="center" vertical="top" wrapText="1"/>
    </xf>
    <xf numFmtId="0" fontId="20" fillId="2" borderId="10" xfId="0" applyFont="1" applyFill="1" applyBorder="1" applyAlignment="1">
      <alignment horizontal="center" vertical="top" wrapText="1"/>
    </xf>
    <xf numFmtId="0" fontId="67" fillId="0" borderId="1" xfId="2" applyFont="1" applyBorder="1" applyAlignment="1">
      <alignment horizontal="center" vertical="top" wrapText="1"/>
    </xf>
    <xf numFmtId="0" fontId="67" fillId="0" borderId="6" xfId="2" applyFont="1" applyBorder="1" applyAlignment="1">
      <alignment horizontal="center" vertical="top" wrapText="1"/>
    </xf>
    <xf numFmtId="0" fontId="67" fillId="0" borderId="10" xfId="2" applyFont="1" applyBorder="1" applyAlignment="1">
      <alignment horizontal="center" vertical="top" wrapText="1"/>
    </xf>
    <xf numFmtId="0" fontId="139" fillId="0" borderId="1" xfId="0" applyFont="1" applyBorder="1" applyAlignment="1">
      <alignment horizontal="center" vertical="top" wrapText="1"/>
    </xf>
    <xf numFmtId="0" fontId="139" fillId="0" borderId="6" xfId="0" applyFont="1" applyBorder="1" applyAlignment="1">
      <alignment horizontal="center" vertical="top" wrapText="1"/>
    </xf>
    <xf numFmtId="0" fontId="139" fillId="0" borderId="10" xfId="0" applyFont="1" applyBorder="1" applyAlignment="1">
      <alignment horizontal="center" vertical="top" wrapText="1"/>
    </xf>
    <xf numFmtId="0" fontId="94" fillId="0" borderId="5" xfId="0" applyFont="1" applyBorder="1" applyAlignment="1">
      <alignment horizontal="center" vertical="center"/>
    </xf>
    <xf numFmtId="0" fontId="94" fillId="0" borderId="1" xfId="0" applyFont="1" applyBorder="1" applyAlignment="1">
      <alignment horizontal="center"/>
    </xf>
    <xf numFmtId="0" fontId="95" fillId="0" borderId="5" xfId="0" applyFont="1" applyBorder="1" applyAlignment="1">
      <alignment horizontal="center" vertical="top" wrapText="1"/>
    </xf>
    <xf numFmtId="0" fontId="94" fillId="0" borderId="0" xfId="0" applyFont="1" applyAlignment="1">
      <alignment horizontal="center"/>
    </xf>
    <xf numFmtId="0" fontId="94" fillId="0" borderId="1" xfId="0" applyFont="1" applyBorder="1" applyAlignment="1">
      <alignment horizontal="center" vertical="center" wrapText="1"/>
    </xf>
    <xf numFmtId="0" fontId="94" fillId="0" borderId="6" xfId="0" applyFont="1" applyBorder="1" applyAlignment="1">
      <alignment horizontal="center" vertical="center" wrapText="1"/>
    </xf>
    <xf numFmtId="0" fontId="94" fillId="0" borderId="10" xfId="0" applyFont="1" applyBorder="1" applyAlignment="1">
      <alignment horizontal="center" vertical="center" wrapText="1"/>
    </xf>
    <xf numFmtId="0" fontId="95" fillId="0" borderId="1" xfId="0" applyFont="1" applyBorder="1" applyAlignment="1">
      <alignment horizontal="center" vertical="center" wrapText="1"/>
    </xf>
    <xf numFmtId="0" fontId="95" fillId="0" borderId="6" xfId="0" applyFont="1" applyBorder="1" applyAlignment="1">
      <alignment horizontal="center" vertical="center" wrapText="1"/>
    </xf>
    <xf numFmtId="0" fontId="95" fillId="0" borderId="10" xfId="0" applyFont="1" applyBorder="1" applyAlignment="1">
      <alignment horizontal="center" vertical="center" wrapText="1"/>
    </xf>
    <xf numFmtId="0" fontId="95" fillId="0" borderId="2" xfId="0" applyFont="1" applyBorder="1" applyAlignment="1">
      <alignment horizontal="center" vertical="center" wrapText="1"/>
    </xf>
    <xf numFmtId="0" fontId="95" fillId="0" borderId="3" xfId="0" applyFont="1" applyBorder="1" applyAlignment="1">
      <alignment horizontal="center" vertical="center" wrapText="1"/>
    </xf>
    <xf numFmtId="0" fontId="95" fillId="0" borderId="4" xfId="0" applyFont="1" applyBorder="1" applyAlignment="1">
      <alignment horizontal="center" vertical="center" wrapText="1"/>
    </xf>
    <xf numFmtId="0" fontId="95" fillId="0" borderId="7" xfId="0" applyFont="1" applyBorder="1" applyAlignment="1">
      <alignment horizontal="center" vertical="center" wrapText="1"/>
    </xf>
    <xf numFmtId="0" fontId="95" fillId="0" borderId="8" xfId="0" applyFont="1" applyBorder="1" applyAlignment="1">
      <alignment horizontal="center" vertical="center" wrapText="1"/>
    </xf>
    <xf numFmtId="0" fontId="95" fillId="0" borderId="9" xfId="0" applyFont="1" applyBorder="1" applyAlignment="1">
      <alignment horizontal="center" vertical="center" wrapText="1"/>
    </xf>
    <xf numFmtId="0" fontId="95" fillId="0" borderId="2" xfId="0" applyFont="1" applyBorder="1" applyAlignment="1">
      <alignment horizontal="center" vertical="top" wrapText="1"/>
    </xf>
    <xf numFmtId="0" fontId="95" fillId="0" borderId="4" xfId="0" applyFont="1" applyBorder="1" applyAlignment="1">
      <alignment horizontal="center" vertical="top" wrapText="1"/>
    </xf>
    <xf numFmtId="0" fontId="95" fillId="0" borderId="7" xfId="0" applyFont="1" applyBorder="1" applyAlignment="1">
      <alignment horizontal="center" vertical="top" wrapText="1"/>
    </xf>
    <xf numFmtId="0" fontId="95" fillId="0" borderId="9" xfId="0" applyFont="1" applyBorder="1" applyAlignment="1">
      <alignment horizontal="center" vertical="top" wrapText="1"/>
    </xf>
    <xf numFmtId="188" fontId="95" fillId="0" borderId="1" xfId="4" applyNumberFormat="1" applyFont="1" applyFill="1" applyBorder="1" applyAlignment="1">
      <alignment horizontal="center" vertical="center" wrapText="1"/>
    </xf>
    <xf numFmtId="188" fontId="95" fillId="0" borderId="6" xfId="4" applyNumberFormat="1" applyFont="1" applyFill="1" applyBorder="1" applyAlignment="1">
      <alignment horizontal="center" vertical="center" wrapText="1"/>
    </xf>
    <xf numFmtId="188" fontId="95" fillId="0" borderId="10" xfId="4" applyNumberFormat="1" applyFont="1" applyFill="1" applyBorder="1" applyAlignment="1">
      <alignment horizontal="center" vertical="center" wrapText="1"/>
    </xf>
    <xf numFmtId="0" fontId="156" fillId="2" borderId="1" xfId="0" applyFont="1" applyFill="1" applyBorder="1" applyAlignment="1">
      <alignment horizontal="left" vertical="top" wrapText="1"/>
    </xf>
    <xf numFmtId="0" fontId="156" fillId="2" borderId="6" xfId="0" applyFont="1" applyFill="1" applyBorder="1" applyAlignment="1">
      <alignment horizontal="left" vertical="top" wrapText="1"/>
    </xf>
    <xf numFmtId="0" fontId="151" fillId="0" borderId="0" xfId="0" applyFont="1" applyAlignment="1">
      <alignment horizontal="center"/>
    </xf>
    <xf numFmtId="0" fontId="160" fillId="0" borderId="1" xfId="0" applyFont="1" applyBorder="1" applyAlignment="1">
      <alignment horizontal="center" vertical="center" wrapText="1"/>
    </xf>
    <xf numFmtId="0" fontId="160" fillId="0" borderId="6" xfId="0" applyFont="1" applyBorder="1" applyAlignment="1">
      <alignment horizontal="center" vertical="center" wrapText="1"/>
    </xf>
    <xf numFmtId="0" fontId="160" fillId="0" borderId="10" xfId="0" applyFont="1" applyBorder="1" applyAlignment="1">
      <alignment horizontal="center" vertical="center" wrapText="1"/>
    </xf>
    <xf numFmtId="0" fontId="70" fillId="0" borderId="5" xfId="0" applyFont="1" applyBorder="1" applyAlignment="1">
      <alignment horizontal="center" vertical="center"/>
    </xf>
    <xf numFmtId="188" fontId="72" fillId="0" borderId="5" xfId="7" applyNumberFormat="1" applyFont="1" applyBorder="1" applyAlignment="1">
      <alignment horizontal="center" vertical="top" wrapText="1"/>
    </xf>
    <xf numFmtId="188" fontId="72" fillId="0" borderId="5" xfId="7" applyNumberFormat="1" applyFont="1" applyFill="1" applyBorder="1" applyAlignment="1">
      <alignment horizontal="center" vertical="top" wrapText="1"/>
    </xf>
    <xf numFmtId="0" fontId="70" fillId="0" borderId="1" xfId="0" applyFont="1" applyBorder="1" applyAlignment="1">
      <alignment horizontal="center" vertical="center" wrapText="1"/>
    </xf>
    <xf numFmtId="0" fontId="70" fillId="0" borderId="6" xfId="0" applyFont="1" applyBorder="1" applyAlignment="1">
      <alignment horizontal="center" vertical="center" wrapText="1"/>
    </xf>
    <xf numFmtId="0" fontId="70" fillId="0" borderId="10" xfId="0" applyFont="1" applyBorder="1" applyAlignment="1">
      <alignment horizontal="center" vertical="center" wrapText="1"/>
    </xf>
    <xf numFmtId="0" fontId="72" fillId="0" borderId="1" xfId="0" applyFont="1" applyBorder="1" applyAlignment="1">
      <alignment horizontal="center" vertical="center" wrapText="1"/>
    </xf>
    <xf numFmtId="0" fontId="72" fillId="0" borderId="6"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 xfId="0" applyFont="1" applyBorder="1" applyAlignment="1">
      <alignment horizontal="center" vertical="center" wrapText="1"/>
    </xf>
    <xf numFmtId="0" fontId="72" fillId="0" borderId="3" xfId="0" applyFont="1" applyBorder="1" applyAlignment="1">
      <alignment horizontal="center" vertical="center" wrapText="1"/>
    </xf>
    <xf numFmtId="0" fontId="72" fillId="0" borderId="4" xfId="0" applyFont="1" applyBorder="1" applyAlignment="1">
      <alignment horizontal="center" vertical="center" wrapText="1"/>
    </xf>
    <xf numFmtId="0" fontId="72" fillId="0" borderId="7" xfId="0" applyFont="1" applyBorder="1" applyAlignment="1">
      <alignment horizontal="center" vertical="center" wrapText="1"/>
    </xf>
    <xf numFmtId="0" fontId="72" fillId="0" borderId="8" xfId="0" applyFont="1" applyBorder="1" applyAlignment="1">
      <alignment horizontal="center" vertical="center" wrapText="1"/>
    </xf>
    <xf numFmtId="0" fontId="72" fillId="0" borderId="9" xfId="0" applyFont="1" applyBorder="1" applyAlignment="1">
      <alignment horizontal="center" vertical="center" wrapText="1"/>
    </xf>
    <xf numFmtId="0" fontId="72" fillId="0" borderId="2" xfId="0" applyFont="1" applyBorder="1" applyAlignment="1">
      <alignment horizontal="center" vertical="top" wrapText="1"/>
    </xf>
    <xf numFmtId="0" fontId="72" fillId="0" borderId="4" xfId="0" applyFont="1" applyBorder="1" applyAlignment="1">
      <alignment horizontal="center" vertical="top" wrapText="1"/>
    </xf>
    <xf numFmtId="0" fontId="72" fillId="0" borderId="7" xfId="0" applyFont="1" applyBorder="1" applyAlignment="1">
      <alignment horizontal="center" vertical="top" wrapText="1"/>
    </xf>
    <xf numFmtId="0" fontId="72" fillId="0" borderId="9" xfId="0" applyFont="1" applyBorder="1" applyAlignment="1">
      <alignment horizontal="center" vertical="top" wrapText="1"/>
    </xf>
    <xf numFmtId="0" fontId="72" fillId="0" borderId="1" xfId="0" applyFont="1" applyBorder="1" applyAlignment="1">
      <alignment horizontal="left" vertical="top" wrapText="1"/>
    </xf>
    <xf numFmtId="0" fontId="72" fillId="0" borderId="10" xfId="0" applyFont="1" applyBorder="1" applyAlignment="1">
      <alignment horizontal="left" vertical="top" wrapText="1"/>
    </xf>
    <xf numFmtId="0" fontId="72" fillId="2" borderId="1" xfId="0" applyFont="1" applyFill="1" applyBorder="1" applyAlignment="1">
      <alignment horizontal="left" vertical="top" wrapText="1"/>
    </xf>
    <xf numFmtId="0" fontId="72" fillId="2" borderId="10" xfId="0" applyFont="1" applyFill="1" applyBorder="1" applyAlignment="1">
      <alignment horizontal="left" vertical="top" wrapText="1"/>
    </xf>
    <xf numFmtId="188" fontId="72" fillId="0" borderId="1" xfId="7" applyNumberFormat="1" applyFont="1" applyFill="1" applyBorder="1" applyAlignment="1">
      <alignment horizontal="right" vertical="top" wrapText="1"/>
    </xf>
    <xf numFmtId="188" fontId="72" fillId="0" borderId="6" xfId="7" applyNumberFormat="1" applyFont="1" applyFill="1" applyBorder="1" applyAlignment="1">
      <alignment horizontal="right" vertical="top" wrapText="1"/>
    </xf>
    <xf numFmtId="188" fontId="72" fillId="0" borderId="10" xfId="7" applyNumberFormat="1" applyFont="1" applyFill="1" applyBorder="1" applyAlignment="1">
      <alignment horizontal="right" vertical="top" wrapText="1"/>
    </xf>
    <xf numFmtId="188" fontId="72" fillId="0" borderId="5" xfId="7" applyNumberFormat="1" applyFont="1" applyBorder="1" applyAlignment="1">
      <alignment horizontal="right" vertical="top" wrapText="1"/>
    </xf>
    <xf numFmtId="188" fontId="72" fillId="0" borderId="5" xfId="7" applyNumberFormat="1" applyFont="1" applyFill="1" applyBorder="1" applyAlignment="1">
      <alignment horizontal="right" vertical="top" wrapText="1"/>
    </xf>
    <xf numFmtId="0" fontId="72" fillId="0" borderId="1" xfId="0" applyFont="1" applyBorder="1" applyAlignment="1">
      <alignment horizontal="center" vertical="top" wrapText="1"/>
    </xf>
    <xf numFmtId="0" fontId="72" fillId="0" borderId="10" xfId="0" applyFont="1" applyBorder="1" applyAlignment="1">
      <alignment horizontal="center" vertical="top" wrapText="1"/>
    </xf>
    <xf numFmtId="0" fontId="74" fillId="2" borderId="1" xfId="0" applyFont="1" applyFill="1" applyBorder="1" applyAlignment="1">
      <alignment horizontal="left" vertical="top" wrapText="1"/>
    </xf>
    <xf numFmtId="0" fontId="74" fillId="2" borderId="6" xfId="0" applyFont="1" applyFill="1" applyBorder="1" applyAlignment="1">
      <alignment horizontal="left" vertical="top" wrapText="1"/>
    </xf>
    <xf numFmtId="0" fontId="74" fillId="2" borderId="10" xfId="0" applyFont="1" applyFill="1" applyBorder="1" applyAlignment="1">
      <alignment horizontal="left" vertical="top" wrapText="1"/>
    </xf>
    <xf numFmtId="0" fontId="72" fillId="0" borderId="6" xfId="0" applyFont="1" applyBorder="1" applyAlignment="1">
      <alignment horizontal="left" vertical="top" wrapText="1"/>
    </xf>
    <xf numFmtId="188" fontId="72" fillId="0" borderId="1" xfId="7" applyNumberFormat="1" applyFont="1" applyFill="1" applyBorder="1" applyAlignment="1">
      <alignment horizontal="left" vertical="top" wrapText="1"/>
    </xf>
    <xf numFmtId="188" fontId="72" fillId="0" borderId="10" xfId="7" applyNumberFormat="1" applyFont="1" applyFill="1" applyBorder="1" applyAlignment="1">
      <alignment horizontal="left" vertical="top" wrapText="1"/>
    </xf>
    <xf numFmtId="0" fontId="70" fillId="0" borderId="6" xfId="0" applyFont="1" applyBorder="1" applyAlignment="1">
      <alignment horizontal="left" vertical="top" wrapText="1"/>
    </xf>
    <xf numFmtId="0" fontId="70" fillId="0" borderId="10" xfId="0" applyFont="1" applyBorder="1" applyAlignment="1">
      <alignment horizontal="left" vertical="top" wrapText="1"/>
    </xf>
    <xf numFmtId="0" fontId="70" fillId="0" borderId="6" xfId="0" applyFont="1" applyBorder="1" applyAlignment="1">
      <alignment horizontal="center" vertical="top"/>
    </xf>
    <xf numFmtId="0" fontId="72" fillId="0" borderId="6" xfId="0" applyFont="1" applyBorder="1" applyAlignment="1">
      <alignment horizontal="center" vertical="top" wrapText="1"/>
    </xf>
    <xf numFmtId="49" fontId="72" fillId="0" borderId="1" xfId="0" applyNumberFormat="1" applyFont="1" applyBorder="1" applyAlignment="1">
      <alignment horizontal="left" vertical="top" wrapText="1"/>
    </xf>
    <xf numFmtId="49" fontId="72" fillId="0" borderId="6" xfId="0" applyNumberFormat="1" applyFont="1" applyBorder="1" applyAlignment="1">
      <alignment horizontal="left" vertical="top" wrapText="1"/>
    </xf>
    <xf numFmtId="0" fontId="70" fillId="0" borderId="1" xfId="0" applyFont="1" applyBorder="1" applyAlignment="1">
      <alignment horizontal="left" vertical="top" wrapText="1"/>
    </xf>
    <xf numFmtId="188" fontId="70" fillId="0" borderId="1" xfId="7" applyNumberFormat="1" applyFont="1" applyFill="1" applyBorder="1" applyAlignment="1">
      <alignment horizontal="left" vertical="top" wrapText="1"/>
    </xf>
    <xf numFmtId="188" fontId="70" fillId="0" borderId="6" xfId="7" applyNumberFormat="1" applyFont="1" applyFill="1" applyBorder="1" applyAlignment="1">
      <alignment horizontal="left" vertical="top" wrapText="1"/>
    </xf>
    <xf numFmtId="188" fontId="70" fillId="0" borderId="10" xfId="7" applyNumberFormat="1" applyFont="1" applyFill="1" applyBorder="1" applyAlignment="1">
      <alignment horizontal="left" vertical="top" wrapText="1"/>
    </xf>
    <xf numFmtId="0" fontId="70" fillId="0" borderId="10" xfId="0" applyFont="1" applyBorder="1" applyAlignment="1">
      <alignment horizontal="center" vertical="top"/>
    </xf>
    <xf numFmtId="0" fontId="70" fillId="2" borderId="1" xfId="0" applyFont="1" applyFill="1" applyBorder="1" applyAlignment="1">
      <alignment horizontal="center" vertical="top"/>
    </xf>
    <xf numFmtId="0" fontId="70" fillId="2" borderId="10" xfId="0" applyFont="1" applyFill="1" applyBorder="1" applyAlignment="1">
      <alignment horizontal="center" vertical="top"/>
    </xf>
    <xf numFmtId="0" fontId="72" fillId="2" borderId="1" xfId="0" applyFont="1" applyFill="1" applyBorder="1" applyAlignment="1">
      <alignment horizontal="center" vertical="top" wrapText="1"/>
    </xf>
    <xf numFmtId="0" fontId="72" fillId="2" borderId="10" xfId="0" applyFont="1" applyFill="1" applyBorder="1" applyAlignment="1">
      <alignment horizontal="center" vertical="top" wrapText="1"/>
    </xf>
    <xf numFmtId="0" fontId="70" fillId="0" borderId="1" xfId="10" applyFont="1" applyBorder="1" applyAlignment="1">
      <alignment horizontal="left" vertical="top" wrapText="1"/>
    </xf>
    <xf numFmtId="0" fontId="70" fillId="0" borderId="10" xfId="10" applyFont="1" applyBorder="1" applyAlignment="1">
      <alignment horizontal="left" vertical="top" wrapText="1"/>
    </xf>
    <xf numFmtId="188" fontId="72" fillId="0" borderId="5" xfId="7" applyNumberFormat="1" applyFont="1" applyFill="1" applyBorder="1" applyAlignment="1">
      <alignment horizontal="left" vertical="top" wrapText="1"/>
    </xf>
    <xf numFmtId="0" fontId="72" fillId="0" borderId="5" xfId="10" applyFont="1" applyBorder="1" applyAlignment="1">
      <alignment horizontal="left" vertical="top" wrapText="1"/>
    </xf>
    <xf numFmtId="188" fontId="72" fillId="2" borderId="1" xfId="7" applyNumberFormat="1" applyFont="1" applyFill="1" applyBorder="1" applyAlignment="1">
      <alignment horizontal="center" vertical="top" wrapText="1"/>
    </xf>
    <xf numFmtId="188" fontId="72" fillId="2" borderId="10" xfId="7" applyNumberFormat="1" applyFont="1" applyFill="1" applyBorder="1" applyAlignment="1">
      <alignment horizontal="center" vertical="top" wrapText="1"/>
    </xf>
    <xf numFmtId="0" fontId="70" fillId="0" borderId="1" xfId="10" applyFont="1" applyBorder="1" applyAlignment="1">
      <alignment horizontal="center" vertical="top" wrapText="1"/>
    </xf>
    <xf numFmtId="0" fontId="70" fillId="0" borderId="10" xfId="10" applyFont="1" applyBorder="1" applyAlignment="1">
      <alignment horizontal="center" vertical="top" wrapText="1"/>
    </xf>
    <xf numFmtId="188" fontId="81" fillId="0" borderId="5" xfId="7" applyNumberFormat="1" applyFont="1" applyFill="1" applyBorder="1" applyAlignment="1">
      <alignment horizontal="center" vertical="top" wrapText="1"/>
    </xf>
    <xf numFmtId="3" fontId="70" fillId="0" borderId="1" xfId="0" applyNumberFormat="1" applyFont="1" applyBorder="1" applyAlignment="1">
      <alignment horizontal="left" vertical="top" wrapText="1"/>
    </xf>
    <xf numFmtId="3" fontId="70" fillId="0" borderId="6" xfId="0" applyNumberFormat="1" applyFont="1" applyBorder="1" applyAlignment="1">
      <alignment horizontal="left" vertical="top" wrapText="1"/>
    </xf>
    <xf numFmtId="3" fontId="72" fillId="0" borderId="1" xfId="0" applyNumberFormat="1" applyFont="1" applyBorder="1" applyAlignment="1">
      <alignment horizontal="left" vertical="top" wrapText="1"/>
    </xf>
    <xf numFmtId="3" fontId="72" fillId="0" borderId="6" xfId="0" applyNumberFormat="1" applyFont="1" applyBorder="1" applyAlignment="1">
      <alignment horizontal="left" vertical="top" wrapText="1"/>
    </xf>
    <xf numFmtId="3" fontId="72" fillId="0" borderId="10" xfId="0" applyNumberFormat="1" applyFont="1" applyBorder="1" applyAlignment="1">
      <alignment horizontal="left" vertical="top" wrapText="1"/>
    </xf>
    <xf numFmtId="0" fontId="81" fillId="0" borderId="1" xfId="0" applyFont="1" applyBorder="1" applyAlignment="1">
      <alignment horizontal="left" vertical="top" wrapText="1"/>
    </xf>
    <xf numFmtId="0" fontId="81" fillId="0" borderId="10" xfId="0" applyFont="1" applyBorder="1" applyAlignment="1">
      <alignment horizontal="left" vertical="top" wrapText="1"/>
    </xf>
    <xf numFmtId="0" fontId="70" fillId="0" borderId="1" xfId="0" applyFont="1" applyBorder="1" applyAlignment="1">
      <alignment horizontal="left" vertical="top"/>
    </xf>
    <xf numFmtId="0" fontId="70" fillId="0" borderId="6" xfId="0" applyFont="1" applyBorder="1" applyAlignment="1">
      <alignment horizontal="left" vertical="top"/>
    </xf>
    <xf numFmtId="0" fontId="70" fillId="0" borderId="10" xfId="0" applyFont="1" applyBorder="1" applyAlignment="1">
      <alignment horizontal="left" vertical="top"/>
    </xf>
    <xf numFmtId="0" fontId="81" fillId="2" borderId="1" xfId="0" applyFont="1" applyFill="1" applyBorder="1" applyAlignment="1">
      <alignment horizontal="center" vertical="top"/>
    </xf>
    <xf numFmtId="0" fontId="81" fillId="2" borderId="10" xfId="0" applyFont="1" applyFill="1" applyBorder="1" applyAlignment="1">
      <alignment horizontal="center" vertical="top"/>
    </xf>
    <xf numFmtId="3" fontId="70" fillId="0" borderId="1" xfId="0" applyNumberFormat="1" applyFont="1" applyBorder="1" applyAlignment="1">
      <alignment horizontal="left" vertical="top"/>
    </xf>
    <xf numFmtId="3" fontId="70" fillId="0" borderId="6" xfId="0" applyNumberFormat="1" applyFont="1" applyBorder="1" applyAlignment="1">
      <alignment horizontal="left" vertical="top"/>
    </xf>
    <xf numFmtId="3" fontId="70" fillId="0" borderId="10" xfId="0" applyNumberFormat="1" applyFont="1" applyBorder="1" applyAlignment="1">
      <alignment horizontal="left" vertical="top"/>
    </xf>
    <xf numFmtId="3" fontId="70" fillId="0" borderId="1" xfId="0" applyNumberFormat="1" applyFont="1" applyBorder="1" applyAlignment="1">
      <alignment horizontal="center" vertical="top"/>
    </xf>
    <xf numFmtId="3" fontId="70" fillId="0" borderId="6" xfId="0" applyNumberFormat="1" applyFont="1" applyBorder="1" applyAlignment="1">
      <alignment horizontal="center" vertical="top"/>
    </xf>
    <xf numFmtId="3" fontId="70" fillId="0" borderId="10" xfId="0" applyNumberFormat="1" applyFont="1" applyBorder="1" applyAlignment="1">
      <alignment horizontal="center" vertical="top"/>
    </xf>
    <xf numFmtId="188" fontId="70" fillId="0" borderId="5" xfId="7" applyNumberFormat="1" applyFont="1" applyFill="1" applyBorder="1" applyAlignment="1">
      <alignment horizontal="right" vertical="center" wrapText="1"/>
    </xf>
    <xf numFmtId="3" fontId="70" fillId="0" borderId="10" xfId="0" applyNumberFormat="1" applyFont="1" applyBorder="1" applyAlignment="1">
      <alignment horizontal="left" vertical="top" wrapText="1"/>
    </xf>
    <xf numFmtId="0" fontId="70" fillId="0" borderId="5" xfId="0" applyFont="1" applyBorder="1" applyAlignment="1">
      <alignment horizontal="left" vertical="top" wrapText="1"/>
    </xf>
    <xf numFmtId="188" fontId="70" fillId="0" borderId="1" xfId="7" applyNumberFormat="1" applyFont="1" applyFill="1" applyBorder="1" applyAlignment="1">
      <alignment horizontal="center" vertical="center" wrapText="1"/>
    </xf>
    <xf numFmtId="188" fontId="70" fillId="0" borderId="6" xfId="7" applyNumberFormat="1" applyFont="1" applyFill="1" applyBorder="1" applyAlignment="1">
      <alignment horizontal="center" vertical="center" wrapText="1"/>
    </xf>
    <xf numFmtId="188" fontId="70" fillId="0" borderId="10" xfId="7" applyNumberFormat="1" applyFont="1" applyFill="1" applyBorder="1" applyAlignment="1">
      <alignment horizontal="center" vertical="center" wrapText="1"/>
    </xf>
    <xf numFmtId="188" fontId="70" fillId="2" borderId="1" xfId="7" applyNumberFormat="1" applyFont="1" applyFill="1" applyBorder="1" applyAlignment="1">
      <alignment horizontal="center" vertical="center" wrapText="1"/>
    </xf>
    <xf numFmtId="188" fontId="70" fillId="2" borderId="10" xfId="7" applyNumberFormat="1" applyFont="1" applyFill="1" applyBorder="1" applyAlignment="1">
      <alignment horizontal="center" vertical="center" wrapText="1"/>
    </xf>
    <xf numFmtId="188" fontId="70" fillId="0" borderId="1" xfId="7" applyNumberFormat="1" applyFont="1" applyFill="1" applyBorder="1" applyAlignment="1">
      <alignment horizontal="center" vertical="center"/>
    </xf>
    <xf numFmtId="188" fontId="70" fillId="0" borderId="6" xfId="7" applyNumberFormat="1" applyFont="1" applyFill="1" applyBorder="1" applyAlignment="1">
      <alignment horizontal="center" vertical="center"/>
    </xf>
    <xf numFmtId="188" fontId="70" fillId="0" borderId="10" xfId="7" applyNumberFormat="1" applyFont="1" applyFill="1" applyBorder="1" applyAlignment="1">
      <alignment horizontal="center" vertical="center"/>
    </xf>
    <xf numFmtId="3" fontId="81" fillId="0" borderId="1" xfId="0" applyNumberFormat="1" applyFont="1" applyBorder="1" applyAlignment="1">
      <alignment horizontal="left" vertical="top" wrapText="1"/>
    </xf>
    <xf numFmtId="3" fontId="81" fillId="0" borderId="10" xfId="0" applyNumberFormat="1" applyFont="1" applyBorder="1" applyAlignment="1">
      <alignment horizontal="left" vertical="top" wrapText="1"/>
    </xf>
    <xf numFmtId="188" fontId="81" fillId="0" borderId="1" xfId="7" applyNumberFormat="1" applyFont="1" applyFill="1" applyBorder="1" applyAlignment="1">
      <alignment horizontal="center" vertical="center" wrapText="1"/>
    </xf>
    <xf numFmtId="188" fontId="81" fillId="0" borderId="10" xfId="7" applyNumberFormat="1" applyFont="1" applyFill="1" applyBorder="1" applyAlignment="1">
      <alignment horizontal="center" vertical="center" wrapText="1"/>
    </xf>
    <xf numFmtId="188" fontId="72" fillId="0" borderId="1" xfId="7" applyNumberFormat="1" applyFont="1" applyFill="1" applyBorder="1" applyAlignment="1">
      <alignment horizontal="center" vertical="center" wrapText="1"/>
    </xf>
    <xf numFmtId="188" fontId="72" fillId="0" borderId="10" xfId="7" applyNumberFormat="1" applyFont="1" applyFill="1" applyBorder="1" applyAlignment="1">
      <alignment horizontal="center" vertical="center" wrapText="1"/>
    </xf>
    <xf numFmtId="188" fontId="70" fillId="0" borderId="1" xfId="7" applyNumberFormat="1" applyFont="1" applyFill="1" applyBorder="1" applyAlignment="1">
      <alignment horizontal="center" vertical="top"/>
    </xf>
    <xf numFmtId="188" fontId="70" fillId="0" borderId="10" xfId="7" applyNumberFormat="1" applyFont="1" applyFill="1" applyBorder="1" applyAlignment="1">
      <alignment horizontal="center" vertical="top"/>
    </xf>
    <xf numFmtId="0" fontId="82" fillId="0" borderId="1" xfId="0" applyFont="1" applyBorder="1" applyAlignment="1">
      <alignment horizontal="left" vertical="top" wrapText="1"/>
    </xf>
    <xf numFmtId="0" fontId="82" fillId="0" borderId="6" xfId="0" applyFont="1" applyBorder="1" applyAlignment="1">
      <alignment horizontal="left" vertical="top" wrapText="1"/>
    </xf>
    <xf numFmtId="0" fontId="82" fillId="0" borderId="1" xfId="0" applyFont="1" applyBorder="1" applyAlignment="1">
      <alignment horizontal="center" vertical="top" wrapText="1"/>
    </xf>
    <xf numFmtId="0" fontId="82" fillId="0" borderId="6" xfId="0" applyFont="1" applyBorder="1" applyAlignment="1">
      <alignment horizontal="center" vertical="top" wrapText="1"/>
    </xf>
    <xf numFmtId="0" fontId="70" fillId="2" borderId="1" xfId="0" applyFont="1" applyFill="1" applyBorder="1" applyAlignment="1">
      <alignment horizontal="left" vertical="top" wrapText="1"/>
    </xf>
    <xf numFmtId="0" fontId="70" fillId="2" borderId="6" xfId="0" applyFont="1" applyFill="1" applyBorder="1" applyAlignment="1">
      <alignment horizontal="left" vertical="top" wrapText="1"/>
    </xf>
    <xf numFmtId="0" fontId="70" fillId="2" borderId="10" xfId="0" applyFont="1" applyFill="1" applyBorder="1" applyAlignment="1">
      <alignment horizontal="left" vertical="top" wrapText="1"/>
    </xf>
    <xf numFmtId="0" fontId="82" fillId="2" borderId="4" xfId="0" applyFont="1" applyFill="1" applyBorder="1" applyAlignment="1">
      <alignment horizontal="left" vertical="top" wrapText="1"/>
    </xf>
    <xf numFmtId="0" fontId="82" fillId="2" borderId="35" xfId="0" applyFont="1" applyFill="1" applyBorder="1" applyAlignment="1">
      <alignment horizontal="left" vertical="top" wrapText="1"/>
    </xf>
    <xf numFmtId="0" fontId="81" fillId="2" borderId="1" xfId="0" applyFont="1" applyFill="1" applyBorder="1" applyAlignment="1">
      <alignment horizontal="left" vertical="top" wrapText="1"/>
    </xf>
    <xf numFmtId="0" fontId="81" fillId="2" borderId="6" xfId="0" applyFont="1" applyFill="1" applyBorder="1" applyAlignment="1">
      <alignment horizontal="left" vertical="top" wrapText="1"/>
    </xf>
    <xf numFmtId="188" fontId="81" fillId="2" borderId="1" xfId="7" applyNumberFormat="1" applyFont="1" applyFill="1" applyBorder="1" applyAlignment="1">
      <alignment horizontal="center" vertical="center"/>
    </xf>
    <xf numFmtId="188" fontId="81" fillId="2" borderId="6" xfId="7" applyNumberFormat="1" applyFont="1" applyFill="1" applyBorder="1" applyAlignment="1">
      <alignment horizontal="center" vertical="center"/>
    </xf>
    <xf numFmtId="188" fontId="81" fillId="2" borderId="10" xfId="7" applyNumberFormat="1" applyFont="1" applyFill="1" applyBorder="1" applyAlignment="1">
      <alignment horizontal="center" vertical="center"/>
    </xf>
    <xf numFmtId="0" fontId="81" fillId="2" borderId="6" xfId="0" applyFont="1" applyFill="1" applyBorder="1" applyAlignment="1">
      <alignment horizontal="center" vertical="top"/>
    </xf>
    <xf numFmtId="188" fontId="81" fillId="0" borderId="1" xfId="7" applyNumberFormat="1" applyFont="1" applyFill="1" applyBorder="1" applyAlignment="1">
      <alignment horizontal="center" vertical="center"/>
    </xf>
    <xf numFmtId="188" fontId="81" fillId="0" borderId="6" xfId="7" applyNumberFormat="1" applyFont="1" applyFill="1" applyBorder="1" applyAlignment="1">
      <alignment horizontal="center" vertical="center"/>
    </xf>
    <xf numFmtId="188" fontId="81" fillId="0" borderId="10" xfId="7" applyNumberFormat="1" applyFont="1" applyFill="1" applyBorder="1" applyAlignment="1">
      <alignment horizontal="center" vertical="center"/>
    </xf>
    <xf numFmtId="0" fontId="86" fillId="0" borderId="1" xfId="0" applyFont="1" applyBorder="1" applyAlignment="1">
      <alignment horizontal="center" vertical="top" wrapText="1"/>
    </xf>
    <xf numFmtId="0" fontId="86" fillId="0" borderId="6" xfId="0" applyFont="1" applyBorder="1" applyAlignment="1">
      <alignment horizontal="center" vertical="top" wrapText="1"/>
    </xf>
    <xf numFmtId="0" fontId="86" fillId="0" borderId="10" xfId="0" applyFont="1" applyBorder="1" applyAlignment="1">
      <alignment horizontal="center" vertical="top" wrapText="1"/>
    </xf>
    <xf numFmtId="0" fontId="81" fillId="0" borderId="6" xfId="0" applyFont="1" applyBorder="1" applyAlignment="1">
      <alignment horizontal="center" vertical="top" wrapText="1"/>
    </xf>
    <xf numFmtId="0" fontId="81" fillId="0" borderId="10" xfId="0" applyFont="1" applyBorder="1" applyAlignment="1">
      <alignment horizontal="center" vertical="top" wrapText="1"/>
    </xf>
    <xf numFmtId="188" fontId="81" fillId="0" borderId="6" xfId="7" applyNumberFormat="1" applyFont="1" applyFill="1" applyBorder="1" applyAlignment="1">
      <alignment horizontal="center" vertical="center" wrapText="1"/>
    </xf>
    <xf numFmtId="0" fontId="81" fillId="2" borderId="0" xfId="0" applyFont="1" applyFill="1" applyAlignment="1">
      <alignment horizontal="center" vertical="top"/>
    </xf>
    <xf numFmtId="0" fontId="81" fillId="2" borderId="13" xfId="0" applyFont="1" applyFill="1" applyBorder="1" applyAlignment="1">
      <alignment horizontal="left" vertical="top" wrapText="1"/>
    </xf>
    <xf numFmtId="0" fontId="81" fillId="2" borderId="5" xfId="0" applyFont="1" applyFill="1" applyBorder="1" applyAlignment="1">
      <alignment horizontal="center" vertical="top" wrapText="1"/>
    </xf>
    <xf numFmtId="188" fontId="81" fillId="2" borderId="1" xfId="7" applyNumberFormat="1" applyFont="1" applyFill="1" applyBorder="1" applyAlignment="1">
      <alignment horizontal="center" vertical="center" wrapText="1"/>
    </xf>
    <xf numFmtId="188" fontId="81" fillId="2" borderId="6" xfId="7" applyNumberFormat="1" applyFont="1" applyFill="1" applyBorder="1" applyAlignment="1">
      <alignment horizontal="center" vertical="center" wrapText="1"/>
    </xf>
    <xf numFmtId="188" fontId="81" fillId="2" borderId="10" xfId="7" applyNumberFormat="1" applyFont="1" applyFill="1" applyBorder="1" applyAlignment="1">
      <alignment horizontal="center" vertical="center" wrapText="1"/>
    </xf>
    <xf numFmtId="0" fontId="70" fillId="0" borderId="1" xfId="0" applyFont="1" applyBorder="1" applyAlignment="1">
      <alignment horizontal="center"/>
    </xf>
    <xf numFmtId="0" fontId="70" fillId="0" borderId="6" xfId="0" applyFont="1" applyBorder="1" applyAlignment="1">
      <alignment horizontal="center"/>
    </xf>
    <xf numFmtId="0" fontId="70" fillId="0" borderId="10" xfId="0" applyFont="1" applyBorder="1" applyAlignment="1">
      <alignment horizontal="center"/>
    </xf>
    <xf numFmtId="0" fontId="70" fillId="0" borderId="1" xfId="0" applyFont="1" applyBorder="1" applyAlignment="1">
      <alignment horizontal="center" vertical="top"/>
    </xf>
    <xf numFmtId="0" fontId="85" fillId="0" borderId="1" xfId="0" applyFont="1" applyBorder="1" applyAlignment="1">
      <alignment horizontal="left" vertical="top" wrapText="1"/>
    </xf>
    <xf numFmtId="0" fontId="85" fillId="0" borderId="6" xfId="0" applyFont="1" applyBorder="1" applyAlignment="1">
      <alignment horizontal="left" vertical="top" wrapText="1"/>
    </xf>
    <xf numFmtId="0" fontId="85" fillId="0" borderId="10" xfId="0" applyFont="1" applyBorder="1" applyAlignment="1">
      <alignment horizontal="left" vertical="top" wrapText="1"/>
    </xf>
    <xf numFmtId="0" fontId="70" fillId="0" borderId="1" xfId="0" applyFont="1" applyBorder="1" applyAlignment="1">
      <alignment horizontal="center" vertical="center"/>
    </xf>
    <xf numFmtId="0" fontId="70" fillId="0" borderId="6" xfId="0" applyFont="1" applyBorder="1" applyAlignment="1">
      <alignment horizontal="center" vertical="center"/>
    </xf>
    <xf numFmtId="0" fontId="70" fillId="0" borderId="10" xfId="0" applyFont="1" applyBorder="1" applyAlignment="1">
      <alignment horizontal="center" vertical="center"/>
    </xf>
    <xf numFmtId="188" fontId="70" fillId="0" borderId="1" xfId="7" applyNumberFormat="1" applyFont="1" applyFill="1" applyBorder="1" applyAlignment="1">
      <alignment horizontal="right" vertical="top"/>
    </xf>
    <xf numFmtId="188" fontId="70" fillId="0" borderId="6" xfId="7" applyNumberFormat="1" applyFont="1" applyFill="1" applyBorder="1" applyAlignment="1">
      <alignment horizontal="right" vertical="top"/>
    </xf>
    <xf numFmtId="188" fontId="70" fillId="0" borderId="10" xfId="7" applyNumberFormat="1" applyFont="1" applyFill="1" applyBorder="1" applyAlignment="1">
      <alignment horizontal="right" vertical="top"/>
    </xf>
    <xf numFmtId="188" fontId="70" fillId="0" borderId="1" xfId="7" applyNumberFormat="1" applyFont="1" applyFill="1" applyBorder="1" applyAlignment="1">
      <alignment horizontal="right" vertical="top" wrapText="1"/>
    </xf>
    <xf numFmtId="188" fontId="70" fillId="0" borderId="6" xfId="7" applyNumberFormat="1" applyFont="1" applyFill="1" applyBorder="1" applyAlignment="1">
      <alignment horizontal="right" vertical="top" wrapText="1"/>
    </xf>
    <xf numFmtId="188" fontId="70" fillId="0" borderId="10" xfId="7" applyNumberFormat="1" applyFont="1" applyFill="1" applyBorder="1" applyAlignment="1">
      <alignment horizontal="right" vertical="top" wrapText="1"/>
    </xf>
    <xf numFmtId="0" fontId="70" fillId="0" borderId="1" xfId="0" applyFont="1" applyBorder="1" applyAlignment="1">
      <alignment horizontal="center" vertical="top" wrapText="1"/>
    </xf>
    <xf numFmtId="0" fontId="70" fillId="0" borderId="10" xfId="0" applyFont="1" applyBorder="1" applyAlignment="1">
      <alignment horizontal="center" vertical="top" wrapText="1"/>
    </xf>
    <xf numFmtId="0" fontId="70" fillId="0" borderId="6" xfId="0" applyFont="1" applyBorder="1" applyAlignment="1">
      <alignment horizontal="center" vertical="top" wrapText="1"/>
    </xf>
    <xf numFmtId="188" fontId="70" fillId="0" borderId="28" xfId="7" applyNumberFormat="1" applyFont="1" applyFill="1" applyBorder="1" applyAlignment="1">
      <alignment horizontal="right" vertical="top" wrapText="1"/>
    </xf>
    <xf numFmtId="188" fontId="70" fillId="0" borderId="30" xfId="7" applyNumberFormat="1" applyFont="1" applyFill="1" applyBorder="1" applyAlignment="1">
      <alignment horizontal="right" vertical="top" wrapText="1"/>
    </xf>
    <xf numFmtId="188" fontId="70" fillId="0" borderId="33" xfId="7" applyNumberFormat="1" applyFont="1" applyFill="1" applyBorder="1" applyAlignment="1">
      <alignment horizontal="right" vertical="top" wrapText="1"/>
    </xf>
    <xf numFmtId="188" fontId="70" fillId="0" borderId="6" xfId="7" applyNumberFormat="1" applyFont="1" applyFill="1" applyBorder="1" applyAlignment="1">
      <alignment horizontal="center" vertical="top"/>
    </xf>
    <xf numFmtId="0" fontId="72" fillId="2" borderId="6" xfId="0" applyFont="1" applyFill="1" applyBorder="1" applyAlignment="1">
      <alignment horizontal="left" vertical="top" wrapText="1"/>
    </xf>
    <xf numFmtId="188" fontId="72" fillId="2" borderId="1" xfId="7" applyNumberFormat="1" applyFont="1" applyFill="1" applyBorder="1" applyAlignment="1">
      <alignment horizontal="right" vertical="top" wrapText="1"/>
    </xf>
    <xf numFmtId="188" fontId="72" fillId="2" borderId="6" xfId="7" applyNumberFormat="1" applyFont="1" applyFill="1" applyBorder="1" applyAlignment="1">
      <alignment horizontal="right" vertical="top" wrapText="1"/>
    </xf>
    <xf numFmtId="188" fontId="72" fillId="2" borderId="10" xfId="7" applyNumberFormat="1" applyFont="1" applyFill="1" applyBorder="1" applyAlignment="1">
      <alignment horizontal="right" vertical="top" wrapText="1"/>
    </xf>
    <xf numFmtId="0" fontId="72" fillId="2" borderId="6" xfId="0" applyFont="1" applyFill="1" applyBorder="1" applyAlignment="1">
      <alignment horizontal="center" vertical="top" wrapText="1"/>
    </xf>
    <xf numFmtId="0" fontId="72" fillId="2" borderId="1" xfId="0" applyFont="1" applyFill="1" applyBorder="1" applyAlignment="1">
      <alignment horizontal="center" vertical="center" wrapText="1"/>
    </xf>
    <xf numFmtId="0" fontId="72" fillId="2" borderId="6" xfId="0" applyFont="1" applyFill="1" applyBorder="1" applyAlignment="1">
      <alignment horizontal="center" vertical="center" wrapText="1"/>
    </xf>
    <xf numFmtId="188" fontId="72" fillId="2" borderId="1" xfId="7" applyNumberFormat="1" applyFont="1" applyFill="1" applyBorder="1" applyAlignment="1">
      <alignment horizontal="right" vertical="center" wrapText="1"/>
    </xf>
    <xf numFmtId="188" fontId="72" fillId="2" borderId="6" xfId="7" applyNumberFormat="1" applyFont="1" applyFill="1" applyBorder="1" applyAlignment="1">
      <alignment horizontal="right" vertical="center" wrapText="1"/>
    </xf>
    <xf numFmtId="188" fontId="72" fillId="2" borderId="10" xfId="7" applyNumberFormat="1" applyFont="1" applyFill="1" applyBorder="1" applyAlignment="1">
      <alignment horizontal="right" vertical="center" wrapText="1"/>
    </xf>
    <xf numFmtId="0" fontId="72" fillId="2" borderId="10" xfId="0" applyFont="1" applyFill="1" applyBorder="1" applyAlignment="1">
      <alignment horizontal="center" vertical="center" wrapText="1"/>
    </xf>
    <xf numFmtId="0" fontId="70" fillId="2" borderId="1" xfId="0" applyFont="1" applyFill="1" applyBorder="1" applyAlignment="1">
      <alignment horizontal="center" vertical="center"/>
    </xf>
    <xf numFmtId="0" fontId="70" fillId="2" borderId="6" xfId="0" applyFont="1" applyFill="1" applyBorder="1" applyAlignment="1">
      <alignment horizontal="center" vertical="center"/>
    </xf>
    <xf numFmtId="0" fontId="70" fillId="2" borderId="10" xfId="0" applyFont="1" applyFill="1" applyBorder="1" applyAlignment="1">
      <alignment horizontal="center" vertical="center"/>
    </xf>
    <xf numFmtId="188" fontId="72" fillId="0" borderId="1" xfId="7" applyNumberFormat="1" applyFont="1" applyFill="1" applyBorder="1" applyAlignment="1">
      <alignment horizontal="right" vertical="center" wrapText="1"/>
    </xf>
    <xf numFmtId="188" fontId="72" fillId="0" borderId="6" xfId="7" applyNumberFormat="1" applyFont="1" applyFill="1" applyBorder="1" applyAlignment="1">
      <alignment horizontal="right" vertical="center" wrapText="1"/>
    </xf>
    <xf numFmtId="188" fontId="72" fillId="0" borderId="10" xfId="7" applyNumberFormat="1" applyFont="1" applyFill="1" applyBorder="1" applyAlignment="1">
      <alignment horizontal="right" vertical="center" wrapText="1"/>
    </xf>
    <xf numFmtId="0" fontId="70" fillId="0" borderId="6" xfId="12" applyFont="1" applyBorder="1" applyAlignment="1">
      <alignment horizontal="center" vertical="top" shrinkToFit="1"/>
    </xf>
    <xf numFmtId="0" fontId="70" fillId="0" borderId="10" xfId="12" applyFont="1" applyBorder="1" applyAlignment="1">
      <alignment horizontal="center" vertical="top" shrinkToFit="1"/>
    </xf>
    <xf numFmtId="0" fontId="70" fillId="0" borderId="1" xfId="12" applyFont="1" applyBorder="1" applyAlignment="1">
      <alignment horizontal="center" vertical="top"/>
    </xf>
    <xf numFmtId="0" fontId="70" fillId="0" borderId="6" xfId="12" applyFont="1" applyBorder="1" applyAlignment="1">
      <alignment horizontal="center" vertical="top"/>
    </xf>
    <xf numFmtId="0" fontId="70" fillId="0" borderId="10" xfId="12" applyFont="1" applyBorder="1" applyAlignment="1">
      <alignment horizontal="center" vertical="top"/>
    </xf>
    <xf numFmtId="0" fontId="70" fillId="0" borderId="5" xfId="0" applyFont="1" applyBorder="1" applyAlignment="1">
      <alignment horizontal="center"/>
    </xf>
    <xf numFmtId="0" fontId="70" fillId="0" borderId="5" xfId="12" applyFont="1" applyBorder="1" applyAlignment="1">
      <alignment horizontal="center" vertical="top" shrinkToFit="1"/>
    </xf>
    <xf numFmtId="0" fontId="70" fillId="0" borderId="5" xfId="12" applyFont="1" applyBorder="1" applyAlignment="1">
      <alignment horizontal="left" vertical="top" wrapText="1"/>
    </xf>
    <xf numFmtId="0" fontId="70" fillId="0" borderId="5" xfId="12" applyFont="1" applyBorder="1" applyAlignment="1">
      <alignment horizontal="center" vertical="top"/>
    </xf>
    <xf numFmtId="0" fontId="70" fillId="0" borderId="1" xfId="12" applyFont="1" applyBorder="1" applyAlignment="1">
      <alignment horizontal="center" vertical="center"/>
    </xf>
    <xf numFmtId="0" fontId="70" fillId="0" borderId="6" xfId="12" applyFont="1" applyBorder="1" applyAlignment="1">
      <alignment horizontal="center" vertical="center"/>
    </xf>
    <xf numFmtId="0" fontId="70" fillId="0" borderId="10" xfId="12" applyFont="1" applyBorder="1" applyAlignment="1">
      <alignment horizontal="center" vertical="center"/>
    </xf>
    <xf numFmtId="0" fontId="70" fillId="0" borderId="1" xfId="12" applyFont="1" applyBorder="1" applyAlignment="1">
      <alignment horizontal="left" vertical="top" wrapText="1"/>
    </xf>
    <xf numFmtId="0" fontId="70" fillId="0" borderId="10" xfId="12" applyFont="1" applyBorder="1" applyAlignment="1">
      <alignment horizontal="left" vertical="top" wrapText="1"/>
    </xf>
    <xf numFmtId="0" fontId="70" fillId="0" borderId="5" xfId="12" applyFont="1" applyBorder="1" applyAlignment="1">
      <alignment vertical="top"/>
    </xf>
    <xf numFmtId="0" fontId="70" fillId="0" borderId="5" xfId="12" applyFont="1" applyBorder="1" applyAlignment="1">
      <alignment vertical="center"/>
    </xf>
    <xf numFmtId="0" fontId="70" fillId="0" borderId="1" xfId="12" applyFont="1" applyBorder="1" applyAlignment="1">
      <alignment horizontal="center" vertical="center" shrinkToFit="1"/>
    </xf>
    <xf numFmtId="0" fontId="70" fillId="0" borderId="10" xfId="12" applyFont="1" applyBorder="1" applyAlignment="1">
      <alignment horizontal="center" vertical="center" shrinkToFit="1"/>
    </xf>
    <xf numFmtId="0" fontId="70" fillId="0" borderId="4" xfId="12" applyFont="1" applyBorder="1" applyAlignment="1">
      <alignment horizontal="center" vertical="top"/>
    </xf>
    <xf numFmtId="0" fontId="70" fillId="0" borderId="35" xfId="12" applyFont="1" applyBorder="1" applyAlignment="1">
      <alignment horizontal="center" vertical="top"/>
    </xf>
    <xf numFmtId="0" fontId="71" fillId="0" borderId="1" xfId="12" applyFont="1" applyBorder="1" applyAlignment="1">
      <alignment horizontal="left" vertical="top" wrapText="1"/>
    </xf>
    <xf numFmtId="0" fontId="70" fillId="0" borderId="1" xfId="12" applyFont="1" applyBorder="1" applyAlignment="1">
      <alignment horizontal="center" vertical="top" shrinkToFit="1"/>
    </xf>
    <xf numFmtId="0" fontId="70" fillId="0" borderId="6" xfId="12" applyFont="1" applyBorder="1" applyAlignment="1">
      <alignment horizontal="center" vertical="center" shrinkToFit="1"/>
    </xf>
    <xf numFmtId="0" fontId="70" fillId="0" borderId="5" xfId="0" applyFont="1" applyBorder="1" applyAlignment="1">
      <alignment vertical="top" wrapText="1"/>
    </xf>
    <xf numFmtId="0" fontId="70" fillId="0" borderId="5" xfId="12" applyFont="1" applyBorder="1" applyAlignment="1">
      <alignment vertical="top" wrapText="1"/>
    </xf>
    <xf numFmtId="188" fontId="72" fillId="0" borderId="1" xfId="7" applyNumberFormat="1" applyFont="1" applyBorder="1" applyAlignment="1">
      <alignment horizontal="right" vertical="top"/>
    </xf>
    <xf numFmtId="188" fontId="72" fillId="0" borderId="6" xfId="7" applyNumberFormat="1" applyFont="1" applyBorder="1" applyAlignment="1">
      <alignment horizontal="right" vertical="top"/>
    </xf>
    <xf numFmtId="188" fontId="72" fillId="0" borderId="10" xfId="7" applyNumberFormat="1" applyFont="1" applyBorder="1" applyAlignment="1">
      <alignment horizontal="right" vertical="top"/>
    </xf>
    <xf numFmtId="0" fontId="72" fillId="0" borderId="1" xfId="0" applyFont="1" applyBorder="1" applyAlignment="1">
      <alignment horizontal="center"/>
    </xf>
    <xf numFmtId="0" fontId="72" fillId="0" borderId="6" xfId="0" applyFont="1" applyBorder="1" applyAlignment="1">
      <alignment horizontal="center"/>
    </xf>
    <xf numFmtId="0" fontId="72" fillId="0" borderId="6" xfId="0" applyFont="1" applyBorder="1" applyAlignment="1">
      <alignment horizontal="left" vertical="top"/>
    </xf>
    <xf numFmtId="0" fontId="73" fillId="0" borderId="1" xfId="0" applyFont="1" applyBorder="1" applyAlignment="1">
      <alignment horizontal="center"/>
    </xf>
    <xf numFmtId="0" fontId="73" fillId="0" borderId="6" xfId="0" applyFont="1" applyBorder="1" applyAlignment="1">
      <alignment horizontal="center"/>
    </xf>
    <xf numFmtId="0" fontId="72" fillId="0" borderId="1" xfId="0" applyFont="1" applyBorder="1" applyAlignment="1">
      <alignment horizontal="center" vertical="center"/>
    </xf>
    <xf numFmtId="0" fontId="72" fillId="0" borderId="6" xfId="0" applyFont="1" applyBorder="1" applyAlignment="1">
      <alignment horizontal="center" vertical="center"/>
    </xf>
    <xf numFmtId="0" fontId="70" fillId="0" borderId="1" xfId="0" applyFont="1" applyBorder="1" applyAlignment="1">
      <alignment horizontal="left" vertical="center" wrapText="1"/>
    </xf>
    <xf numFmtId="0" fontId="70" fillId="0" borderId="6" xfId="0" applyFont="1" applyBorder="1" applyAlignment="1">
      <alignment horizontal="left" vertical="center"/>
    </xf>
    <xf numFmtId="0" fontId="70" fillId="0" borderId="6" xfId="0" applyFont="1" applyBorder="1" applyAlignment="1">
      <alignment horizontal="left" vertical="center" wrapText="1"/>
    </xf>
    <xf numFmtId="0" fontId="72" fillId="0" borderId="1" xfId="0" applyFont="1" applyBorder="1" applyAlignment="1">
      <alignment horizontal="left" vertical="top"/>
    </xf>
    <xf numFmtId="0" fontId="72" fillId="0" borderId="10" xfId="0" applyFont="1" applyBorder="1" applyAlignment="1">
      <alignment horizontal="center"/>
    </xf>
    <xf numFmtId="0" fontId="72" fillId="0" borderId="5" xfId="0" applyFont="1" applyBorder="1" applyAlignment="1">
      <alignment horizontal="left" vertical="top" wrapText="1"/>
    </xf>
    <xf numFmtId="188" fontId="72" fillId="0" borderId="1" xfId="7" applyNumberFormat="1" applyFont="1" applyFill="1" applyBorder="1" applyAlignment="1">
      <alignment horizontal="right" vertical="top"/>
    </xf>
    <xf numFmtId="188" fontId="72" fillId="0" borderId="10" xfId="7" applyNumberFormat="1" applyFont="1" applyFill="1" applyBorder="1" applyAlignment="1">
      <alignment horizontal="right" vertical="top"/>
    </xf>
    <xf numFmtId="0" fontId="70" fillId="0" borderId="5" xfId="0" applyFont="1" applyBorder="1" applyAlignment="1">
      <alignment horizontal="center" vertical="top" wrapText="1"/>
    </xf>
    <xf numFmtId="0" fontId="72" fillId="0" borderId="2" xfId="0" applyFont="1" applyBorder="1" applyAlignment="1">
      <alignment horizontal="left" vertical="top" wrapText="1"/>
    </xf>
    <xf numFmtId="0" fontId="72" fillId="0" borderId="34" xfId="0" applyFont="1" applyBorder="1" applyAlignment="1">
      <alignment horizontal="left" vertical="top" wrapText="1"/>
    </xf>
    <xf numFmtId="0" fontId="34" fillId="2" borderId="6" xfId="0" applyFont="1" applyFill="1" applyBorder="1" applyAlignment="1">
      <alignment horizontal="left" vertical="top" wrapText="1"/>
    </xf>
    <xf numFmtId="0" fontId="34" fillId="2" borderId="10" xfId="0" applyFont="1" applyFill="1" applyBorder="1" applyAlignment="1">
      <alignment horizontal="left" vertical="top" wrapText="1"/>
    </xf>
    <xf numFmtId="0" fontId="34" fillId="6" borderId="2" xfId="10" applyFont="1" applyFill="1" applyBorder="1" applyAlignment="1">
      <alignment horizontal="left" vertical="top" wrapText="1"/>
    </xf>
    <xf numFmtId="0" fontId="34" fillId="6" borderId="3" xfId="10" applyFont="1" applyFill="1" applyBorder="1" applyAlignment="1">
      <alignment horizontal="left" vertical="top" wrapText="1"/>
    </xf>
    <xf numFmtId="0" fontId="34" fillId="6" borderId="4" xfId="10" applyFont="1" applyFill="1" applyBorder="1" applyAlignment="1">
      <alignment horizontal="left" vertical="top" wrapText="1"/>
    </xf>
    <xf numFmtId="0" fontId="34" fillId="2" borderId="1" xfId="10" applyFont="1" applyFill="1" applyBorder="1" applyAlignment="1">
      <alignment horizontal="left" vertical="top" wrapText="1"/>
    </xf>
    <xf numFmtId="0" fontId="34" fillId="2" borderId="10" xfId="10" applyFont="1" applyFill="1" applyBorder="1" applyAlignment="1">
      <alignment horizontal="left" vertical="top" wrapText="1"/>
    </xf>
    <xf numFmtId="0" fontId="34" fillId="6" borderId="11" xfId="0" applyFont="1" applyFill="1" applyBorder="1" applyAlignment="1">
      <alignment horizontal="left" vertical="top" wrapText="1"/>
    </xf>
    <xf numFmtId="0" fontId="34" fillId="6" borderId="13" xfId="0" applyFont="1" applyFill="1" applyBorder="1" applyAlignment="1">
      <alignment horizontal="left" vertical="top" wrapText="1"/>
    </xf>
    <xf numFmtId="0" fontId="38" fillId="0" borderId="1" xfId="0" applyFont="1" applyBorder="1" applyAlignment="1">
      <alignment horizontal="left" vertical="top" wrapText="1"/>
    </xf>
    <xf numFmtId="0" fontId="38" fillId="0" borderId="10" xfId="0" applyFont="1" applyBorder="1" applyAlignment="1">
      <alignment horizontal="left" vertical="top" wrapText="1"/>
    </xf>
    <xf numFmtId="0" fontId="34" fillId="6" borderId="5" xfId="0" applyFont="1" applyFill="1" applyBorder="1" applyAlignment="1">
      <alignment horizontal="left" vertical="top" wrapText="1"/>
    </xf>
    <xf numFmtId="0" fontId="126" fillId="2" borderId="1" xfId="0" applyFont="1" applyFill="1" applyBorder="1" applyAlignment="1">
      <alignment horizontal="center" vertical="top"/>
    </xf>
    <xf numFmtId="0" fontId="126" fillId="2" borderId="6" xfId="0" applyFont="1" applyFill="1" applyBorder="1" applyAlignment="1">
      <alignment horizontal="center" vertical="top"/>
    </xf>
    <xf numFmtId="0" fontId="38" fillId="0" borderId="5" xfId="0" applyFont="1" applyBorder="1" applyAlignment="1">
      <alignment horizontal="center" vertical="top" wrapText="1"/>
    </xf>
    <xf numFmtId="0" fontId="34" fillId="0" borderId="5" xfId="0" applyFont="1" applyBorder="1" applyAlignment="1">
      <alignment horizontal="center" vertical="center"/>
    </xf>
    <xf numFmtId="0" fontId="34" fillId="0" borderId="1"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0" xfId="0" applyFont="1" applyBorder="1" applyAlignment="1">
      <alignment horizontal="center" vertical="center" wrapText="1"/>
    </xf>
    <xf numFmtId="0" fontId="38" fillId="0" borderId="2" xfId="0" applyFont="1" applyBorder="1" applyAlignment="1">
      <alignment horizontal="center" vertical="top" wrapText="1"/>
    </xf>
    <xf numFmtId="0" fontId="38" fillId="0" borderId="4" xfId="0" applyFont="1" applyBorder="1" applyAlignment="1">
      <alignment horizontal="center" vertical="top" wrapText="1"/>
    </xf>
    <xf numFmtId="0" fontId="38" fillId="0" borderId="7" xfId="0" applyFont="1" applyBorder="1" applyAlignment="1">
      <alignment horizontal="center" vertical="top" wrapText="1"/>
    </xf>
    <xf numFmtId="0" fontId="38" fillId="0" borderId="9" xfId="0" applyFont="1" applyBorder="1" applyAlignment="1">
      <alignment horizontal="center" vertical="top" wrapText="1"/>
    </xf>
    <xf numFmtId="188" fontId="38" fillId="0" borderId="1" xfId="1" applyNumberFormat="1" applyFont="1" applyFill="1" applyBorder="1" applyAlignment="1">
      <alignment horizontal="center" vertical="center" wrapText="1"/>
    </xf>
    <xf numFmtId="188" fontId="38" fillId="0" borderId="6" xfId="1" applyNumberFormat="1" applyFont="1" applyFill="1" applyBorder="1" applyAlignment="1">
      <alignment horizontal="center" vertical="center" wrapText="1"/>
    </xf>
    <xf numFmtId="188" fontId="38" fillId="0" borderId="10" xfId="1" applyNumberFormat="1" applyFont="1" applyFill="1" applyBorder="1" applyAlignment="1">
      <alignment horizontal="center" vertical="center" wrapText="1"/>
    </xf>
    <xf numFmtId="0" fontId="38" fillId="6" borderId="12" xfId="0" applyFont="1" applyFill="1" applyBorder="1" applyAlignment="1">
      <alignment horizontal="left" vertical="top" wrapText="1"/>
    </xf>
    <xf numFmtId="0" fontId="38" fillId="6" borderId="13" xfId="0" applyFont="1" applyFill="1" applyBorder="1" applyAlignment="1">
      <alignment horizontal="left" vertical="top" wrapText="1"/>
    </xf>
    <xf numFmtId="0" fontId="34" fillId="6" borderId="12" xfId="0" applyFont="1" applyFill="1" applyBorder="1" applyAlignment="1">
      <alignment horizontal="left" vertical="top" wrapText="1"/>
    </xf>
    <xf numFmtId="0" fontId="34" fillId="2" borderId="1" xfId="0" applyFont="1" applyFill="1" applyBorder="1" applyAlignment="1">
      <alignment horizontal="left" vertical="top" wrapText="1"/>
    </xf>
    <xf numFmtId="0" fontId="126" fillId="0" borderId="0" xfId="0" applyFont="1" applyAlignment="1">
      <alignment horizontal="center"/>
    </xf>
    <xf numFmtId="0" fontId="38" fillId="0" borderId="1"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10" xfId="0" applyFont="1" applyBorder="1" applyAlignment="1">
      <alignment horizontal="center" vertical="center" wrapText="1"/>
    </xf>
    <xf numFmtId="0" fontId="129" fillId="0" borderId="2" xfId="0" applyFont="1" applyBorder="1" applyAlignment="1">
      <alignment horizontal="center" vertical="center" wrapText="1"/>
    </xf>
    <xf numFmtId="0" fontId="129" fillId="0" borderId="3" xfId="0" applyFont="1" applyBorder="1" applyAlignment="1">
      <alignment horizontal="center" vertical="center" wrapText="1"/>
    </xf>
    <xf numFmtId="0" fontId="129" fillId="0" borderId="4" xfId="0" applyFont="1" applyBorder="1" applyAlignment="1">
      <alignment horizontal="center" vertical="center" wrapText="1"/>
    </xf>
    <xf numFmtId="0" fontId="129" fillId="0" borderId="7" xfId="0" applyFont="1" applyBorder="1" applyAlignment="1">
      <alignment horizontal="center" vertical="center" wrapText="1"/>
    </xf>
    <xf numFmtId="0" fontId="129" fillId="0" borderId="8" xfId="0" applyFont="1" applyBorder="1" applyAlignment="1">
      <alignment horizontal="center" vertical="center" wrapText="1"/>
    </xf>
    <xf numFmtId="0" fontId="129" fillId="0" borderId="9" xfId="0" applyFont="1" applyBorder="1" applyAlignment="1">
      <alignment horizontal="center" vertical="center" wrapText="1"/>
    </xf>
    <xf numFmtId="0" fontId="19" fillId="0" borderId="0" xfId="0" applyFont="1" applyAlignment="1">
      <alignment horizontal="center" vertical="top"/>
    </xf>
    <xf numFmtId="0" fontId="66" fillId="0" borderId="0" xfId="0" applyFont="1" applyAlignment="1">
      <alignment horizontal="center" vertical="top"/>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4" xfId="0" applyFont="1" applyBorder="1" applyAlignment="1">
      <alignment horizontal="center" vertical="top" wrapText="1"/>
    </xf>
    <xf numFmtId="0" fontId="19" fillId="0" borderId="7" xfId="0" applyFont="1" applyBorder="1" applyAlignment="1">
      <alignment horizontal="center" vertical="top" wrapText="1"/>
    </xf>
    <xf numFmtId="0" fontId="19" fillId="0" borderId="8" xfId="0" applyFont="1" applyBorder="1" applyAlignment="1">
      <alignment horizontal="center" vertical="top" wrapText="1"/>
    </xf>
    <xf numFmtId="0" fontId="19" fillId="0" borderId="9" xfId="0" applyFont="1" applyBorder="1" applyAlignment="1">
      <alignment horizontal="center" vertical="top" wrapText="1"/>
    </xf>
    <xf numFmtId="0" fontId="19" fillId="0" borderId="1" xfId="0" applyFont="1" applyBorder="1" applyAlignment="1">
      <alignment horizontal="center" vertical="top" wrapText="1"/>
    </xf>
    <xf numFmtId="0" fontId="19" fillId="0" borderId="6" xfId="0" applyFont="1" applyBorder="1" applyAlignment="1">
      <alignment horizontal="center" vertical="top" wrapText="1"/>
    </xf>
    <xf numFmtId="0" fontId="19" fillId="0" borderId="10" xfId="0" applyFont="1" applyBorder="1" applyAlignment="1">
      <alignment horizontal="center" vertical="top" wrapText="1"/>
    </xf>
    <xf numFmtId="0" fontId="67" fillId="0" borderId="2" xfId="0" applyFont="1" applyBorder="1" applyAlignment="1">
      <alignment horizontal="center" vertical="top" wrapText="1"/>
    </xf>
    <xf numFmtId="0" fontId="67" fillId="0" borderId="3" xfId="0" applyFont="1" applyBorder="1" applyAlignment="1">
      <alignment horizontal="center" vertical="top" wrapText="1"/>
    </xf>
    <xf numFmtId="0" fontId="67" fillId="0" borderId="4" xfId="0" applyFont="1" applyBorder="1" applyAlignment="1">
      <alignment horizontal="center" vertical="top" wrapText="1"/>
    </xf>
    <xf numFmtId="0" fontId="67" fillId="0" borderId="7" xfId="0" applyFont="1" applyBorder="1" applyAlignment="1">
      <alignment horizontal="center" vertical="top" wrapText="1"/>
    </xf>
    <xf numFmtId="0" fontId="67" fillId="0" borderId="8" xfId="0" applyFont="1" applyBorder="1" applyAlignment="1">
      <alignment horizontal="center" vertical="top" wrapText="1"/>
    </xf>
    <xf numFmtId="0" fontId="67" fillId="0" borderId="9" xfId="0" applyFont="1" applyBorder="1" applyAlignment="1">
      <alignment horizontal="center" vertical="top" wrapText="1"/>
    </xf>
    <xf numFmtId="188" fontId="68" fillId="0" borderId="5" xfId="1" applyNumberFormat="1" applyFont="1" applyFill="1" applyBorder="1" applyAlignment="1">
      <alignment horizontal="center" vertical="top" wrapText="1"/>
    </xf>
    <xf numFmtId="0" fontId="67" fillId="0" borderId="13" xfId="0" applyFont="1" applyBorder="1" applyAlignment="1">
      <alignment horizontal="center" vertical="top" wrapText="1"/>
    </xf>
    <xf numFmtId="188" fontId="69" fillId="0" borderId="1" xfId="0" applyNumberFormat="1" applyFont="1" applyBorder="1" applyAlignment="1">
      <alignment horizontal="left" vertical="top" wrapText="1"/>
    </xf>
    <xf numFmtId="188" fontId="69" fillId="0" borderId="10" xfId="0" applyNumberFormat="1" applyFont="1" applyBorder="1" applyAlignment="1">
      <alignment horizontal="left" vertical="top" wrapText="1"/>
    </xf>
    <xf numFmtId="188" fontId="69" fillId="0" borderId="1" xfId="0" applyNumberFormat="1" applyFont="1" applyBorder="1" applyAlignment="1">
      <alignment vertical="top" wrapText="1"/>
    </xf>
    <xf numFmtId="188" fontId="69" fillId="0" borderId="10" xfId="0" applyNumberFormat="1" applyFont="1" applyBorder="1" applyAlignment="1">
      <alignment vertical="top" wrapText="1"/>
    </xf>
    <xf numFmtId="188" fontId="69" fillId="0" borderId="1" xfId="0" applyNumberFormat="1" applyFont="1" applyBorder="1" applyAlignment="1">
      <alignment horizontal="center" vertical="top"/>
    </xf>
    <xf numFmtId="188" fontId="69" fillId="0" borderId="10" xfId="0" applyNumberFormat="1" applyFont="1" applyBorder="1" applyAlignment="1">
      <alignment horizontal="center" vertical="top"/>
    </xf>
    <xf numFmtId="188" fontId="69" fillId="0" borderId="1" xfId="19" applyNumberFormat="1" applyFont="1" applyFill="1" applyBorder="1" applyAlignment="1">
      <alignment horizontal="center" vertical="top" wrapText="1"/>
    </xf>
    <xf numFmtId="188" fontId="69" fillId="0" borderId="10" xfId="19" applyNumberFormat="1" applyFont="1" applyFill="1" applyBorder="1" applyAlignment="1">
      <alignment horizontal="center" vertical="top" wrapText="1"/>
    </xf>
    <xf numFmtId="0" fontId="69" fillId="0" borderId="11" xfId="0" applyFont="1" applyBorder="1" applyAlignment="1">
      <alignment horizontal="left" vertical="top" wrapText="1"/>
    </xf>
    <xf numFmtId="0" fontId="69" fillId="0" borderId="13" xfId="0" applyFont="1" applyBorder="1" applyAlignment="1">
      <alignment horizontal="left" vertical="top" wrapText="1"/>
    </xf>
    <xf numFmtId="0" fontId="28" fillId="2" borderId="1" xfId="0" applyFont="1" applyFill="1" applyBorder="1" applyAlignment="1">
      <alignment horizontal="left" vertical="top"/>
    </xf>
    <xf numFmtId="0" fontId="28" fillId="2" borderId="6" xfId="0" applyFont="1" applyFill="1" applyBorder="1" applyAlignment="1">
      <alignment horizontal="left" vertical="top"/>
    </xf>
    <xf numFmtId="0" fontId="28" fillId="2" borderId="10" xfId="0" applyFont="1" applyFill="1" applyBorder="1" applyAlignment="1">
      <alignment horizontal="left" vertical="top"/>
    </xf>
    <xf numFmtId="0" fontId="27" fillId="2" borderId="1" xfId="0" applyFont="1" applyFill="1" applyBorder="1" applyAlignment="1">
      <alignment horizontal="center" vertical="top" wrapText="1"/>
    </xf>
    <xf numFmtId="0" fontId="27" fillId="2" borderId="6" xfId="0" applyFont="1" applyFill="1" applyBorder="1" applyAlignment="1">
      <alignment horizontal="center" vertical="top" wrapText="1"/>
    </xf>
    <xf numFmtId="0" fontId="27" fillId="2" borderId="10" xfId="0" applyFont="1" applyFill="1" applyBorder="1" applyAlignment="1">
      <alignment horizontal="center" vertical="top" wrapText="1"/>
    </xf>
    <xf numFmtId="0" fontId="28" fillId="2" borderId="1" xfId="0" applyFont="1" applyFill="1" applyBorder="1" applyAlignment="1">
      <alignment horizontal="left" vertical="top" wrapText="1"/>
    </xf>
    <xf numFmtId="0" fontId="28" fillId="2" borderId="6" xfId="0" applyFont="1" applyFill="1" applyBorder="1" applyAlignment="1">
      <alignment horizontal="left" vertical="top" wrapText="1"/>
    </xf>
    <xf numFmtId="0" fontId="28" fillId="2" borderId="10" xfId="0" applyFont="1" applyFill="1" applyBorder="1" applyAlignment="1">
      <alignment horizontal="left" vertical="top" wrapText="1"/>
    </xf>
    <xf numFmtId="0" fontId="27" fillId="2" borderId="1" xfId="0" applyFont="1" applyFill="1" applyBorder="1" applyAlignment="1">
      <alignment horizontal="left" vertical="top" wrapText="1"/>
    </xf>
    <xf numFmtId="0" fontId="27" fillId="2" borderId="6" xfId="0" applyFont="1" applyFill="1" applyBorder="1" applyAlignment="1">
      <alignment horizontal="left" vertical="top" wrapText="1"/>
    </xf>
    <xf numFmtId="0" fontId="27" fillId="2" borderId="10" xfId="0" applyFont="1" applyFill="1" applyBorder="1" applyAlignment="1">
      <alignment horizontal="left" vertical="top" wrapText="1"/>
    </xf>
    <xf numFmtId="188" fontId="27" fillId="2" borderId="1" xfId="1" applyNumberFormat="1" applyFont="1" applyFill="1" applyBorder="1" applyAlignment="1">
      <alignment horizontal="center" vertical="top" wrapText="1"/>
    </xf>
    <xf numFmtId="188" fontId="27" fillId="2" borderId="10" xfId="1" applyNumberFormat="1" applyFont="1" applyFill="1" applyBorder="1" applyAlignment="1">
      <alignment horizontal="center" vertical="top" wrapText="1"/>
    </xf>
    <xf numFmtId="188" fontId="27" fillId="0" borderId="1" xfId="1" applyNumberFormat="1" applyFont="1" applyFill="1" applyBorder="1" applyAlignment="1">
      <alignment horizontal="center" vertical="center" textRotation="90" wrapText="1"/>
    </xf>
    <xf numFmtId="188" fontId="27" fillId="0" borderId="10" xfId="1" applyNumberFormat="1" applyFont="1" applyFill="1" applyBorder="1" applyAlignment="1">
      <alignment horizontal="center" vertical="center" textRotation="90" wrapText="1"/>
    </xf>
    <xf numFmtId="0" fontId="28" fillId="2" borderId="1" xfId="0" applyFont="1" applyFill="1" applyBorder="1" applyAlignment="1">
      <alignment horizontal="center" vertical="center"/>
    </xf>
    <xf numFmtId="0" fontId="28" fillId="2" borderId="10" xfId="0" applyFont="1" applyFill="1" applyBorder="1" applyAlignment="1">
      <alignment horizontal="center" vertical="center"/>
    </xf>
    <xf numFmtId="188" fontId="27" fillId="2" borderId="1" xfId="1" applyNumberFormat="1" applyFont="1" applyFill="1" applyBorder="1" applyAlignment="1">
      <alignment horizontal="right" vertical="top" wrapText="1"/>
    </xf>
    <xf numFmtId="188" fontId="27" fillId="2" borderId="10" xfId="1" applyNumberFormat="1" applyFont="1" applyFill="1" applyBorder="1" applyAlignment="1">
      <alignment horizontal="right" vertical="top" wrapText="1"/>
    </xf>
    <xf numFmtId="0" fontId="28" fillId="0" borderId="1" xfId="0" applyFont="1" applyBorder="1" applyAlignment="1">
      <alignment horizontal="center" vertical="center"/>
    </xf>
    <xf numFmtId="0" fontId="28" fillId="0" borderId="10" xfId="0" applyFont="1" applyBorder="1" applyAlignment="1">
      <alignment horizontal="center" vertical="center"/>
    </xf>
    <xf numFmtId="0" fontId="27" fillId="0" borderId="5" xfId="0" applyFont="1" applyBorder="1" applyAlignment="1">
      <alignment horizontal="center" vertical="top" wrapText="1"/>
    </xf>
    <xf numFmtId="0" fontId="27" fillId="0" borderId="1" xfId="0" applyFont="1" applyBorder="1" applyAlignment="1">
      <alignment horizontal="left" vertical="top" wrapText="1"/>
    </xf>
    <xf numFmtId="0" fontId="27" fillId="0" borderId="10" xfId="0" applyFont="1" applyBorder="1" applyAlignment="1">
      <alignment horizontal="left" vertical="top" wrapText="1"/>
    </xf>
    <xf numFmtId="0" fontId="28" fillId="6" borderId="11" xfId="0" applyFont="1" applyFill="1" applyBorder="1" applyAlignment="1">
      <alignment horizontal="left" vertical="top"/>
    </xf>
    <xf numFmtId="0" fontId="28" fillId="6" borderId="12" xfId="0" applyFont="1" applyFill="1" applyBorder="1" applyAlignment="1">
      <alignment horizontal="left" vertical="top"/>
    </xf>
    <xf numFmtId="0" fontId="28" fillId="6" borderId="51" xfId="0" applyFont="1" applyFill="1" applyBorder="1" applyAlignment="1">
      <alignment horizontal="left" wrapText="1"/>
    </xf>
    <xf numFmtId="0" fontId="28" fillId="6" borderId="52" xfId="0" applyFont="1" applyFill="1" applyBorder="1" applyAlignment="1">
      <alignment horizontal="left" wrapText="1"/>
    </xf>
    <xf numFmtId="0" fontId="28" fillId="6" borderId="11" xfId="0" applyFont="1" applyFill="1" applyBorder="1" applyAlignment="1">
      <alignment horizontal="left" vertical="center" wrapText="1"/>
    </xf>
    <xf numFmtId="0" fontId="28" fillId="6" borderId="12" xfId="0" applyFont="1" applyFill="1" applyBorder="1" applyAlignment="1">
      <alignment horizontal="left" vertical="center" wrapText="1"/>
    </xf>
    <xf numFmtId="0" fontId="28" fillId="6" borderId="13" xfId="0" applyFont="1" applyFill="1" applyBorder="1" applyAlignment="1">
      <alignment horizontal="left" vertical="center" wrapText="1"/>
    </xf>
    <xf numFmtId="188" fontId="27" fillId="6" borderId="11" xfId="1" applyNumberFormat="1" applyFont="1" applyFill="1" applyBorder="1" applyAlignment="1">
      <alignment horizontal="left" vertical="top" wrapText="1"/>
    </xf>
    <xf numFmtId="188" fontId="27" fillId="6" borderId="12" xfId="1" applyNumberFormat="1" applyFont="1" applyFill="1" applyBorder="1" applyAlignment="1">
      <alignment horizontal="left" vertical="top" wrapText="1"/>
    </xf>
    <xf numFmtId="188" fontId="27" fillId="6" borderId="13" xfId="1" applyNumberFormat="1" applyFont="1" applyFill="1" applyBorder="1" applyAlignment="1">
      <alignment horizontal="left" vertical="top" wrapText="1"/>
    </xf>
    <xf numFmtId="187" fontId="28" fillId="0" borderId="0" xfId="0" applyNumberFormat="1" applyFont="1" applyAlignment="1">
      <alignment horizontal="left" wrapText="1"/>
    </xf>
    <xf numFmtId="187" fontId="28" fillId="0" borderId="8" xfId="0" applyNumberFormat="1" applyFont="1" applyBorder="1" applyAlignment="1">
      <alignment horizontal="center" wrapText="1"/>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 xfId="0" applyFont="1" applyBorder="1" applyAlignment="1">
      <alignment horizontal="center" vertical="top" wrapText="1"/>
    </xf>
    <xf numFmtId="0" fontId="27" fillId="0" borderId="4" xfId="0" applyFont="1" applyBorder="1" applyAlignment="1">
      <alignment horizontal="center" vertical="top" wrapText="1"/>
    </xf>
    <xf numFmtId="0" fontId="27" fillId="0" borderId="7" xfId="0" applyFont="1" applyBorder="1" applyAlignment="1">
      <alignment horizontal="center" vertical="top" wrapText="1"/>
    </xf>
    <xf numFmtId="0" fontId="27" fillId="0" borderId="9" xfId="0" applyFont="1" applyBorder="1" applyAlignment="1">
      <alignment horizontal="center" vertical="top" wrapText="1"/>
    </xf>
    <xf numFmtId="0" fontId="28" fillId="0" borderId="5" xfId="0" applyFont="1" applyBorder="1" applyAlignment="1">
      <alignment horizontal="center" vertical="center"/>
    </xf>
    <xf numFmtId="0" fontId="99" fillId="6" borderId="11" xfId="0" applyFont="1" applyFill="1" applyBorder="1" applyAlignment="1">
      <alignment horizontal="left" vertical="top"/>
    </xf>
    <xf numFmtId="0" fontId="99" fillId="6" borderId="12" xfId="0" applyFont="1" applyFill="1" applyBorder="1" applyAlignment="1">
      <alignment horizontal="left" vertical="top"/>
    </xf>
    <xf numFmtId="0" fontId="99" fillId="6" borderId="13" xfId="0" applyFont="1" applyFill="1" applyBorder="1" applyAlignment="1">
      <alignment horizontal="left" vertical="top"/>
    </xf>
    <xf numFmtId="0" fontId="96" fillId="0" borderId="0" xfId="0" applyFont="1" applyAlignment="1">
      <alignment horizontal="center"/>
    </xf>
    <xf numFmtId="0" fontId="96" fillId="0" borderId="1" xfId="0" applyFont="1" applyBorder="1" applyAlignment="1">
      <alignment horizontal="center" vertical="center" wrapText="1"/>
    </xf>
    <xf numFmtId="0" fontId="96" fillId="0" borderId="6" xfId="0" applyFont="1" applyBorder="1" applyAlignment="1">
      <alignment horizontal="center" vertical="center" wrapText="1"/>
    </xf>
    <xf numFmtId="0" fontId="96" fillId="0" borderId="10" xfId="0" applyFont="1" applyBorder="1" applyAlignment="1">
      <alignment horizontal="center" vertical="center" wrapText="1"/>
    </xf>
    <xf numFmtId="0" fontId="99" fillId="0" borderId="1" xfId="0" applyFont="1" applyBorder="1" applyAlignment="1">
      <alignment horizontal="center" vertical="center" wrapText="1"/>
    </xf>
    <xf numFmtId="0" fontId="99" fillId="0" borderId="6" xfId="0" applyFont="1" applyBorder="1" applyAlignment="1">
      <alignment horizontal="center" vertical="center" wrapText="1"/>
    </xf>
    <xf numFmtId="0" fontId="99" fillId="0" borderId="10" xfId="0" applyFont="1" applyBorder="1" applyAlignment="1">
      <alignment horizontal="center" vertical="center" wrapText="1"/>
    </xf>
    <xf numFmtId="0" fontId="99" fillId="0" borderId="2" xfId="0" applyFont="1" applyBorder="1" applyAlignment="1">
      <alignment horizontal="center" vertical="center" wrapText="1"/>
    </xf>
    <xf numFmtId="0" fontId="99" fillId="0" borderId="3" xfId="0" applyFont="1" applyBorder="1" applyAlignment="1">
      <alignment horizontal="center" vertical="center" wrapText="1"/>
    </xf>
    <xf numFmtId="0" fontId="99" fillId="0" borderId="4" xfId="0" applyFont="1" applyBorder="1" applyAlignment="1">
      <alignment horizontal="center" vertical="center" wrapText="1"/>
    </xf>
    <xf numFmtId="0" fontId="99" fillId="0" borderId="7" xfId="0" applyFont="1" applyBorder="1" applyAlignment="1">
      <alignment horizontal="center" vertical="center" wrapText="1"/>
    </xf>
    <xf numFmtId="0" fontId="99" fillId="0" borderId="8" xfId="0" applyFont="1" applyBorder="1" applyAlignment="1">
      <alignment horizontal="center" vertical="center" wrapText="1"/>
    </xf>
    <xf numFmtId="0" fontId="99" fillId="0" borderId="9" xfId="0" applyFont="1" applyBorder="1" applyAlignment="1">
      <alignment horizontal="center" vertical="center" wrapText="1"/>
    </xf>
    <xf numFmtId="0" fontId="99" fillId="0" borderId="2" xfId="0" applyFont="1" applyBorder="1" applyAlignment="1">
      <alignment horizontal="center" vertical="top" wrapText="1"/>
    </xf>
    <xf numFmtId="0" fontId="99" fillId="0" borderId="4" xfId="0" applyFont="1" applyBorder="1" applyAlignment="1">
      <alignment horizontal="center" vertical="top" wrapText="1"/>
    </xf>
    <xf numFmtId="0" fontId="99" fillId="0" borderId="7" xfId="0" applyFont="1" applyBorder="1" applyAlignment="1">
      <alignment horizontal="center" vertical="top" wrapText="1"/>
    </xf>
    <xf numFmtId="0" fontId="99" fillId="0" borderId="9" xfId="0" applyFont="1" applyBorder="1" applyAlignment="1">
      <alignment horizontal="center" vertical="top" wrapText="1"/>
    </xf>
    <xf numFmtId="188" fontId="99" fillId="0" borderId="1" xfId="1" applyNumberFormat="1" applyFont="1" applyFill="1" applyBorder="1" applyAlignment="1">
      <alignment horizontal="center" vertical="center" wrapText="1"/>
    </xf>
    <xf numFmtId="188" fontId="99" fillId="0" borderId="6" xfId="1" applyNumberFormat="1" applyFont="1" applyFill="1" applyBorder="1" applyAlignment="1">
      <alignment horizontal="center" vertical="center" wrapText="1"/>
    </xf>
    <xf numFmtId="188" fontId="99" fillId="0" borderId="10" xfId="1" applyNumberFormat="1" applyFont="1" applyFill="1" applyBorder="1" applyAlignment="1">
      <alignment horizontal="center" vertical="center" wrapText="1"/>
    </xf>
    <xf numFmtId="0" fontId="99" fillId="0" borderId="5" xfId="0" applyFont="1" applyBorder="1" applyAlignment="1">
      <alignment horizontal="center" vertical="top" wrapText="1"/>
    </xf>
    <xf numFmtId="0" fontId="96" fillId="0" borderId="5" xfId="0" applyFont="1" applyBorder="1" applyAlignment="1">
      <alignment horizontal="center" vertical="center"/>
    </xf>
    <xf numFmtId="0" fontId="96" fillId="6" borderId="11" xfId="0" applyFont="1" applyFill="1" applyBorder="1" applyAlignment="1">
      <alignment horizontal="left" vertical="top"/>
    </xf>
    <xf numFmtId="0" fontId="96" fillId="6" borderId="12" xfId="0" applyFont="1" applyFill="1" applyBorder="1" applyAlignment="1">
      <alignment horizontal="left" vertical="top"/>
    </xf>
    <xf numFmtId="0" fontId="96" fillId="6" borderId="13" xfId="0" applyFont="1" applyFill="1" applyBorder="1" applyAlignment="1">
      <alignment horizontal="left" vertical="top"/>
    </xf>
    <xf numFmtId="188" fontId="99" fillId="0" borderId="1" xfId="1" applyNumberFormat="1" applyFont="1" applyFill="1" applyBorder="1" applyAlignment="1">
      <alignment vertical="center" wrapText="1"/>
    </xf>
    <xf numFmtId="188" fontId="99" fillId="0" borderId="6" xfId="1" applyNumberFormat="1" applyFont="1" applyFill="1" applyBorder="1" applyAlignment="1">
      <alignment vertical="center" wrapText="1"/>
    </xf>
    <xf numFmtId="188" fontId="99" fillId="0" borderId="10" xfId="1" applyNumberFormat="1" applyFont="1" applyFill="1" applyBorder="1" applyAlignment="1">
      <alignment vertical="center" wrapText="1"/>
    </xf>
    <xf numFmtId="188" fontId="99" fillId="0" borderId="1" xfId="1" applyNumberFormat="1" applyFont="1" applyFill="1" applyBorder="1" applyAlignment="1">
      <alignment horizontal="center" vertical="center"/>
    </xf>
    <xf numFmtId="188" fontId="99" fillId="0" borderId="6" xfId="1" applyNumberFormat="1" applyFont="1" applyFill="1" applyBorder="1" applyAlignment="1">
      <alignment horizontal="center" vertical="center"/>
    </xf>
    <xf numFmtId="188" fontId="99" fillId="0" borderId="10" xfId="1" applyNumberFormat="1" applyFont="1" applyFill="1" applyBorder="1" applyAlignment="1">
      <alignment horizontal="center" vertical="center"/>
    </xf>
    <xf numFmtId="0" fontId="96" fillId="0" borderId="1" xfId="0" applyFont="1" applyBorder="1" applyAlignment="1">
      <alignment horizontal="center" vertical="top" wrapText="1"/>
    </xf>
    <xf numFmtId="0" fontId="96" fillId="0" borderId="10" xfId="0" applyFont="1" applyBorder="1" applyAlignment="1">
      <alignment horizontal="center" vertical="top" wrapText="1"/>
    </xf>
    <xf numFmtId="188" fontId="96" fillId="0" borderId="1" xfId="1" applyNumberFormat="1" applyFont="1" applyFill="1" applyBorder="1" applyAlignment="1">
      <alignment horizontal="center" vertical="center"/>
    </xf>
    <xf numFmtId="188" fontId="96" fillId="0" borderId="10" xfId="1" applyNumberFormat="1" applyFont="1" applyFill="1" applyBorder="1" applyAlignment="1">
      <alignment horizontal="center" vertical="center"/>
    </xf>
    <xf numFmtId="188" fontId="96" fillId="0" borderId="1" xfId="1" applyNumberFormat="1" applyFont="1" applyFill="1" applyBorder="1" applyAlignment="1">
      <alignment vertical="center" wrapText="1"/>
    </xf>
    <xf numFmtId="188" fontId="96" fillId="0" borderId="6" xfId="1" applyNumberFormat="1" applyFont="1" applyFill="1" applyBorder="1" applyAlignment="1">
      <alignment vertical="center" wrapText="1"/>
    </xf>
    <xf numFmtId="0" fontId="99" fillId="0" borderId="1" xfId="0" applyFont="1" applyBorder="1" applyAlignment="1">
      <alignment horizontal="center" vertical="top" wrapText="1"/>
    </xf>
    <xf numFmtId="0" fontId="99" fillId="0" borderId="6" xfId="0" applyFont="1" applyBorder="1" applyAlignment="1">
      <alignment horizontal="center" vertical="top" wrapText="1"/>
    </xf>
    <xf numFmtId="0" fontId="99" fillId="0" borderId="10" xfId="0" applyFont="1" applyBorder="1" applyAlignment="1">
      <alignment horizontal="center" vertical="top" wrapText="1"/>
    </xf>
    <xf numFmtId="188" fontId="96" fillId="0" borderId="1" xfId="8" applyNumberFormat="1" applyFont="1" applyFill="1" applyBorder="1" applyAlignment="1">
      <alignment horizontal="center" vertical="top"/>
    </xf>
    <xf numFmtId="188" fontId="96" fillId="0" borderId="6" xfId="8" applyNumberFormat="1" applyFont="1" applyFill="1" applyBorder="1" applyAlignment="1">
      <alignment horizontal="center" vertical="top"/>
    </xf>
    <xf numFmtId="188" fontId="96" fillId="0" borderId="10" xfId="8" applyNumberFormat="1" applyFont="1" applyFill="1" applyBorder="1" applyAlignment="1">
      <alignment horizontal="center" vertical="top"/>
    </xf>
    <xf numFmtId="188" fontId="99" fillId="0" borderId="6" xfId="8" applyNumberFormat="1" applyFont="1" applyFill="1" applyBorder="1" applyAlignment="1">
      <alignment horizontal="center" vertical="top" wrapText="1"/>
    </xf>
    <xf numFmtId="188" fontId="99" fillId="0" borderId="10" xfId="8" applyNumberFormat="1" applyFont="1" applyFill="1" applyBorder="1" applyAlignment="1">
      <alignment horizontal="center" vertical="top" wrapText="1"/>
    </xf>
    <xf numFmtId="0" fontId="0" fillId="0" borderId="1" xfId="0" applyBorder="1" applyAlignment="1">
      <alignment horizontal="center" vertical="top"/>
    </xf>
    <xf numFmtId="0" fontId="0" fillId="0" borderId="6" xfId="0" applyBorder="1" applyAlignment="1">
      <alignment horizontal="center" vertical="top"/>
    </xf>
    <xf numFmtId="0" fontId="0" fillId="0" borderId="1" xfId="0" applyBorder="1" applyAlignment="1">
      <alignment horizontal="center" vertical="top" wrapText="1"/>
    </xf>
    <xf numFmtId="0" fontId="0" fillId="0" borderId="6" xfId="0" applyBorder="1" applyAlignment="1">
      <alignment horizontal="center" vertical="top" wrapText="1"/>
    </xf>
    <xf numFmtId="0" fontId="0" fillId="0" borderId="10" xfId="0" applyBorder="1" applyAlignment="1">
      <alignment horizontal="center" vertical="top" wrapText="1"/>
    </xf>
    <xf numFmtId="0" fontId="2" fillId="0" borderId="1" xfId="0" applyFont="1" applyBorder="1" applyAlignment="1">
      <alignment horizontal="center" vertical="top" wrapText="1"/>
    </xf>
    <xf numFmtId="0" fontId="2" fillId="0" borderId="6" xfId="0" applyFont="1" applyBorder="1" applyAlignment="1">
      <alignment horizontal="center" vertical="top" wrapText="1"/>
    </xf>
    <xf numFmtId="0" fontId="2" fillId="0" borderId="10" xfId="0" applyFont="1" applyBorder="1" applyAlignment="1">
      <alignment horizontal="center" vertical="top" wrapText="1"/>
    </xf>
    <xf numFmtId="0" fontId="0" fillId="0" borderId="1"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2" fillId="0" borderId="1" xfId="0" applyFont="1" applyBorder="1" applyAlignment="1">
      <alignment horizontal="left" vertical="top" wrapText="1"/>
    </xf>
    <xf numFmtId="0" fontId="2" fillId="0" borderId="6" xfId="0" applyFont="1" applyBorder="1" applyAlignment="1">
      <alignment horizontal="left" vertical="top" wrapText="1"/>
    </xf>
    <xf numFmtId="0" fontId="2" fillId="0" borderId="10" xfId="0" applyFont="1" applyBorder="1" applyAlignment="1">
      <alignment horizontal="left" vertical="top" wrapText="1"/>
    </xf>
    <xf numFmtId="0" fontId="7" fillId="6" borderId="5"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0" borderId="10" xfId="0" applyFont="1" applyBorder="1" applyAlignment="1">
      <alignment horizontal="left" vertical="top" wrapText="1"/>
    </xf>
    <xf numFmtId="0" fontId="50" fillId="2" borderId="5" xfId="0" applyFont="1" applyFill="1" applyBorder="1" applyAlignment="1">
      <alignment horizontal="center" vertical="top" wrapText="1"/>
    </xf>
    <xf numFmtId="0" fontId="8" fillId="2" borderId="5" xfId="0" applyFont="1" applyFill="1" applyBorder="1" applyAlignment="1">
      <alignment horizontal="center" vertical="top" wrapText="1"/>
    </xf>
    <xf numFmtId="0" fontId="7" fillId="6" borderId="11"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8" fillId="2" borderId="1"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0" borderId="1" xfId="14" applyFont="1" applyBorder="1" applyAlignment="1">
      <alignment horizontal="left" vertical="top" wrapText="1"/>
    </xf>
    <xf numFmtId="0" fontId="8" fillId="0" borderId="10" xfId="14" applyFont="1" applyBorder="1" applyAlignment="1">
      <alignment horizontal="left" vertical="top" wrapText="1"/>
    </xf>
    <xf numFmtId="0" fontId="2" fillId="2" borderId="1"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9" xfId="0" applyFont="1" applyFill="1" applyBorder="1" applyAlignment="1">
      <alignment horizontal="left" vertical="top" wrapText="1"/>
    </xf>
    <xf numFmtId="0" fontId="67" fillId="2" borderId="5" xfId="14" applyFont="1" applyFill="1" applyBorder="1" applyAlignment="1">
      <alignment horizontal="center" vertical="top" wrapText="1"/>
    </xf>
    <xf numFmtId="0" fontId="115" fillId="6" borderId="11" xfId="0" applyFont="1" applyFill="1" applyBorder="1" applyAlignment="1">
      <alignment horizontal="left" vertical="center" readingOrder="1"/>
    </xf>
    <xf numFmtId="0" fontId="115" fillId="6" borderId="12" xfId="0" applyFont="1" applyFill="1" applyBorder="1" applyAlignment="1">
      <alignment horizontal="left" vertical="center" readingOrder="1"/>
    </xf>
    <xf numFmtId="0" fontId="115" fillId="6" borderId="13" xfId="0" applyFont="1" applyFill="1" applyBorder="1" applyAlignment="1">
      <alignment horizontal="left" vertical="center" readingOrder="1"/>
    </xf>
    <xf numFmtId="0" fontId="107" fillId="6" borderId="11" xfId="14" applyFont="1" applyFill="1" applyBorder="1" applyAlignment="1">
      <alignment horizontal="left" vertical="center"/>
    </xf>
    <xf numFmtId="0" fontId="107" fillId="6" borderId="12" xfId="14" applyFont="1" applyFill="1" applyBorder="1" applyAlignment="1">
      <alignment horizontal="left" vertical="center"/>
    </xf>
    <xf numFmtId="0" fontId="107" fillId="6" borderId="13" xfId="14" applyFont="1" applyFill="1" applyBorder="1" applyAlignment="1">
      <alignment horizontal="left" vertical="center"/>
    </xf>
    <xf numFmtId="1" fontId="2" fillId="2" borderId="1" xfId="15" applyNumberFormat="1" applyFont="1" applyFill="1" applyBorder="1" applyAlignment="1">
      <alignment horizontal="left" vertical="top" wrapText="1"/>
    </xf>
    <xf numFmtId="1" fontId="2" fillId="2" borderId="6" xfId="15" applyNumberFormat="1" applyFont="1" applyFill="1" applyBorder="1" applyAlignment="1">
      <alignment horizontal="left" vertical="top" wrapText="1"/>
    </xf>
    <xf numFmtId="1" fontId="2" fillId="2" borderId="10" xfId="15" applyNumberFormat="1" applyFont="1" applyFill="1" applyBorder="1" applyAlignment="1">
      <alignment horizontal="left" vertical="top" wrapText="1"/>
    </xf>
    <xf numFmtId="0" fontId="2" fillId="2" borderId="1" xfId="14" applyFont="1" applyFill="1" applyBorder="1" applyAlignment="1">
      <alignment horizontal="left" vertical="top" wrapText="1"/>
    </xf>
    <xf numFmtId="0" fontId="2" fillId="2" borderId="6" xfId="14" applyFont="1" applyFill="1" applyBorder="1" applyAlignment="1">
      <alignment horizontal="left" vertical="top" wrapText="1"/>
    </xf>
    <xf numFmtId="0" fontId="2" fillId="2" borderId="10" xfId="14" applyFont="1" applyFill="1" applyBorder="1" applyAlignment="1">
      <alignment horizontal="left" vertical="top" wrapText="1"/>
    </xf>
    <xf numFmtId="1" fontId="2" fillId="0" borderId="1" xfId="15" applyNumberFormat="1" applyFont="1" applyFill="1" applyBorder="1" applyAlignment="1">
      <alignment horizontal="left" vertical="top" wrapText="1"/>
    </xf>
    <xf numFmtId="1" fontId="2" fillId="0" borderId="6" xfId="15" applyNumberFormat="1" applyFont="1" applyFill="1" applyBorder="1" applyAlignment="1">
      <alignment horizontal="left" vertical="top" wrapText="1"/>
    </xf>
    <xf numFmtId="1" fontId="2" fillId="0" borderId="10" xfId="15" applyNumberFormat="1" applyFont="1" applyFill="1" applyBorder="1" applyAlignment="1">
      <alignment horizontal="left" vertical="top" wrapText="1"/>
    </xf>
    <xf numFmtId="0" fontId="2" fillId="0" borderId="1" xfId="14" applyFont="1" applyBorder="1" applyAlignment="1">
      <alignment horizontal="left" vertical="top" wrapText="1"/>
    </xf>
    <xf numFmtId="0" fontId="2" fillId="0" borderId="6" xfId="14" applyFont="1" applyBorder="1" applyAlignment="1">
      <alignment horizontal="left" vertical="top" wrapText="1"/>
    </xf>
    <xf numFmtId="0" fontId="2" fillId="0" borderId="10" xfId="14" applyFont="1" applyBorder="1" applyAlignment="1">
      <alignment horizontal="left" vertical="top" wrapText="1"/>
    </xf>
    <xf numFmtId="0" fontId="106" fillId="0" borderId="1" xfId="14" applyFont="1" applyBorder="1" applyAlignment="1">
      <alignment horizontal="center" vertical="top" wrapText="1"/>
    </xf>
    <xf numFmtId="0" fontId="116" fillId="0" borderId="6" xfId="14" applyFont="1" applyBorder="1" applyAlignment="1">
      <alignment horizontal="center" vertical="top" wrapText="1"/>
    </xf>
    <xf numFmtId="0" fontId="116" fillId="0" borderId="10" xfId="14" applyFont="1" applyBorder="1" applyAlignment="1">
      <alignment horizontal="center" vertical="top" wrapText="1"/>
    </xf>
    <xf numFmtId="1" fontId="19" fillId="6" borderId="11" xfId="15" applyNumberFormat="1" applyFont="1" applyFill="1" applyBorder="1" applyAlignment="1">
      <alignment horizontal="left" vertical="center" wrapText="1"/>
    </xf>
    <xf numFmtId="1" fontId="19" fillId="6" borderId="12" xfId="15" applyNumberFormat="1" applyFont="1" applyFill="1" applyBorder="1" applyAlignment="1">
      <alignment horizontal="left" vertical="center" wrapText="1"/>
    </xf>
    <xf numFmtId="1" fontId="19" fillId="6" borderId="13" xfId="15" applyNumberFormat="1" applyFont="1" applyFill="1" applyBorder="1" applyAlignment="1">
      <alignment horizontal="left" vertical="center" wrapText="1"/>
    </xf>
    <xf numFmtId="0" fontId="109" fillId="2" borderId="1" xfId="0" applyFont="1" applyFill="1" applyBorder="1" applyAlignment="1">
      <alignment horizontal="left" vertical="top" wrapText="1" readingOrder="1"/>
    </xf>
    <xf numFmtId="0" fontId="109" fillId="2" borderId="6" xfId="0" applyFont="1" applyFill="1" applyBorder="1" applyAlignment="1">
      <alignment horizontal="left" vertical="top" wrapText="1" readingOrder="1"/>
    </xf>
    <xf numFmtId="0" fontId="109" fillId="2" borderId="10" xfId="0" applyFont="1" applyFill="1" applyBorder="1" applyAlignment="1">
      <alignment horizontal="left" vertical="top" wrapText="1" readingOrder="1"/>
    </xf>
    <xf numFmtId="0" fontId="2" fillId="2" borderId="1" xfId="0" quotePrefix="1" applyFont="1" applyFill="1" applyBorder="1" applyAlignment="1">
      <alignment horizontal="left" vertical="top" wrapText="1"/>
    </xf>
    <xf numFmtId="0" fontId="2" fillId="2" borderId="6" xfId="0" quotePrefix="1" applyFont="1" applyFill="1" applyBorder="1" applyAlignment="1">
      <alignment horizontal="left" vertical="top" wrapText="1"/>
    </xf>
    <xf numFmtId="0" fontId="2" fillId="2" borderId="10" xfId="0" quotePrefix="1" applyFont="1" applyFill="1" applyBorder="1" applyAlignment="1">
      <alignment horizontal="left" vertical="top" wrapText="1"/>
    </xf>
    <xf numFmtId="0" fontId="2" fillId="2" borderId="6" xfId="0" applyFont="1" applyFill="1" applyBorder="1" applyAlignment="1">
      <alignment horizontal="left" vertical="top" wrapText="1"/>
    </xf>
    <xf numFmtId="0" fontId="8" fillId="2" borderId="5" xfId="0" applyFont="1" applyFill="1" applyBorder="1" applyAlignment="1">
      <alignment horizontal="left" vertical="top" wrapText="1" readingOrder="1"/>
    </xf>
    <xf numFmtId="0" fontId="111" fillId="2" borderId="5" xfId="0" applyFont="1" applyFill="1" applyBorder="1" applyAlignment="1">
      <alignment horizontal="left" vertical="top" wrapText="1"/>
    </xf>
    <xf numFmtId="1" fontId="107" fillId="6" borderId="11" xfId="15" applyNumberFormat="1" applyFont="1" applyFill="1" applyBorder="1" applyAlignment="1">
      <alignment horizontal="left" vertical="top" wrapText="1"/>
    </xf>
    <xf numFmtId="1" fontId="107" fillId="6" borderId="12" xfId="15" applyNumberFormat="1" applyFont="1" applyFill="1" applyBorder="1" applyAlignment="1">
      <alignment horizontal="left" vertical="top" wrapText="1"/>
    </xf>
  </cellXfs>
  <cellStyles count="23">
    <cellStyle name="Comma 2" xfId="18" xr:uid="{00000000-0005-0000-0000-000001000000}"/>
    <cellStyle name="Comma 3" xfId="13" xr:uid="{00000000-0005-0000-0000-000002000000}"/>
    <cellStyle name="Comma 5" xfId="8" xr:uid="{00000000-0005-0000-0000-000003000000}"/>
    <cellStyle name="Hyperlink" xfId="22" builtinId="8"/>
    <cellStyle name="Hyperlink 2" xfId="3" xr:uid="{00000000-0005-0000-0000-000004000000}"/>
    <cellStyle name="Normal 2" xfId="10" xr:uid="{00000000-0005-0000-0000-000006000000}"/>
    <cellStyle name="Normal 2 2" xfId="2" xr:uid="{00000000-0005-0000-0000-000007000000}"/>
    <cellStyle name="Normal 4" xfId="12" xr:uid="{00000000-0005-0000-0000-000008000000}"/>
    <cellStyle name="Normal_form-re3Oct" xfId="5" xr:uid="{00000000-0005-0000-0000-000009000000}"/>
    <cellStyle name="เครื่องหมายจุลภาค 2" xfId="4" xr:uid="{00000000-0005-0000-0000-00000A000000}"/>
    <cellStyle name="เครื่องหมายจุลภาค 2 2" xfId="11" xr:uid="{00000000-0005-0000-0000-00000B000000}"/>
    <cellStyle name="เครื่องหมายจุลภาค 2 4" xfId="17" xr:uid="{00000000-0005-0000-0000-00000C000000}"/>
    <cellStyle name="จุลภาค" xfId="1" builtinId="3"/>
    <cellStyle name="จุลภาค 2" xfId="7" xr:uid="{00000000-0005-0000-0000-00000D000000}"/>
    <cellStyle name="ดี" xfId="19" builtinId="26"/>
    <cellStyle name="ปกติ" xfId="0" builtinId="0"/>
    <cellStyle name="ปกติ 2" xfId="9" xr:uid="{00000000-0005-0000-0000-00000F000000}"/>
    <cellStyle name="ปกติ 2 2 2" xfId="14" xr:uid="{00000000-0005-0000-0000-000010000000}"/>
    <cellStyle name="ปกติ 2 3 2" xfId="21" xr:uid="{6159541C-1F29-45FF-9222-75DB7B0D62A3}"/>
    <cellStyle name="ปกติ 2 4" xfId="15" xr:uid="{00000000-0005-0000-0000-000011000000}"/>
    <cellStyle name="ปกติ 3" xfId="6" xr:uid="{00000000-0005-0000-0000-000012000000}"/>
    <cellStyle name="ปกติ 5" xfId="16" xr:uid="{00000000-0005-0000-0000-000013000000}"/>
    <cellStyle name="ปานกลาง" xfId="20" builtinId="28"/>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8</xdr:col>
      <xdr:colOff>156633</xdr:colOff>
      <xdr:row>9</xdr:row>
      <xdr:rowOff>0</xdr:rowOff>
    </xdr:from>
    <xdr:ext cx="184731" cy="262572"/>
    <xdr:sp macro="" textlink="">
      <xdr:nvSpPr>
        <xdr:cNvPr id="4" name="TextBox 2">
          <a:extLst>
            <a:ext uri="{FF2B5EF4-FFF2-40B4-BE49-F238E27FC236}">
              <a16:creationId xmlns:a16="http://schemas.microsoft.com/office/drawing/2014/main" id="{7C7F7C10-2C36-4141-8F09-BF32D0DEA692}"/>
            </a:ext>
          </a:extLst>
        </xdr:cNvPr>
        <xdr:cNvSpPr txBox="1"/>
      </xdr:nvSpPr>
      <xdr:spPr>
        <a:xfrm>
          <a:off x="12555462" y="8044543"/>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8</xdr:col>
      <xdr:colOff>80433</xdr:colOff>
      <xdr:row>9</xdr:row>
      <xdr:rowOff>0</xdr:rowOff>
    </xdr:from>
    <xdr:ext cx="184731" cy="262572"/>
    <xdr:sp macro="" textlink="">
      <xdr:nvSpPr>
        <xdr:cNvPr id="5" name="TextBox 3">
          <a:extLst>
            <a:ext uri="{FF2B5EF4-FFF2-40B4-BE49-F238E27FC236}">
              <a16:creationId xmlns:a16="http://schemas.microsoft.com/office/drawing/2014/main" id="{21318BDF-D783-4BF6-B64F-A9F226A7F5BF}"/>
            </a:ext>
          </a:extLst>
        </xdr:cNvPr>
        <xdr:cNvSpPr txBox="1"/>
      </xdr:nvSpPr>
      <xdr:spPr>
        <a:xfrm>
          <a:off x="12479262" y="8044543"/>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8</xdr:col>
      <xdr:colOff>156633</xdr:colOff>
      <xdr:row>9</xdr:row>
      <xdr:rowOff>0</xdr:rowOff>
    </xdr:from>
    <xdr:ext cx="184731" cy="262572"/>
    <xdr:sp macro="" textlink="">
      <xdr:nvSpPr>
        <xdr:cNvPr id="6" name="TextBox 4">
          <a:extLst>
            <a:ext uri="{FF2B5EF4-FFF2-40B4-BE49-F238E27FC236}">
              <a16:creationId xmlns:a16="http://schemas.microsoft.com/office/drawing/2014/main" id="{A1AFD1B0-5BED-4532-8309-25EB656E530F}"/>
            </a:ext>
          </a:extLst>
        </xdr:cNvPr>
        <xdr:cNvSpPr txBox="1"/>
      </xdr:nvSpPr>
      <xdr:spPr>
        <a:xfrm>
          <a:off x="12555462" y="8044543"/>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8</xdr:col>
      <xdr:colOff>80433</xdr:colOff>
      <xdr:row>9</xdr:row>
      <xdr:rowOff>0</xdr:rowOff>
    </xdr:from>
    <xdr:ext cx="184731" cy="262572"/>
    <xdr:sp macro="" textlink="">
      <xdr:nvSpPr>
        <xdr:cNvPr id="7" name="TextBox 5">
          <a:extLst>
            <a:ext uri="{FF2B5EF4-FFF2-40B4-BE49-F238E27FC236}">
              <a16:creationId xmlns:a16="http://schemas.microsoft.com/office/drawing/2014/main" id="{FB1E57E1-D283-40A4-9F0F-6277814C576C}"/>
            </a:ext>
          </a:extLst>
        </xdr:cNvPr>
        <xdr:cNvSpPr txBox="1"/>
      </xdr:nvSpPr>
      <xdr:spPr>
        <a:xfrm>
          <a:off x="12479262" y="8044543"/>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8</xdr:col>
      <xdr:colOff>156633</xdr:colOff>
      <xdr:row>9</xdr:row>
      <xdr:rowOff>0</xdr:rowOff>
    </xdr:from>
    <xdr:ext cx="184731" cy="262572"/>
    <xdr:sp macro="" textlink="">
      <xdr:nvSpPr>
        <xdr:cNvPr id="8" name="TextBox 2">
          <a:extLst>
            <a:ext uri="{FF2B5EF4-FFF2-40B4-BE49-F238E27FC236}">
              <a16:creationId xmlns:a16="http://schemas.microsoft.com/office/drawing/2014/main" id="{A567C237-3B25-4C1B-879A-35339B69BC74}"/>
            </a:ext>
          </a:extLst>
        </xdr:cNvPr>
        <xdr:cNvSpPr txBox="1"/>
      </xdr:nvSpPr>
      <xdr:spPr>
        <a:xfrm>
          <a:off x="12555462" y="8044543"/>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8</xdr:col>
      <xdr:colOff>80433</xdr:colOff>
      <xdr:row>9</xdr:row>
      <xdr:rowOff>0</xdr:rowOff>
    </xdr:from>
    <xdr:ext cx="184731" cy="262572"/>
    <xdr:sp macro="" textlink="">
      <xdr:nvSpPr>
        <xdr:cNvPr id="9" name="TextBox 3">
          <a:extLst>
            <a:ext uri="{FF2B5EF4-FFF2-40B4-BE49-F238E27FC236}">
              <a16:creationId xmlns:a16="http://schemas.microsoft.com/office/drawing/2014/main" id="{C22D18B7-3C21-436A-8472-BAB79D236182}"/>
            </a:ext>
          </a:extLst>
        </xdr:cNvPr>
        <xdr:cNvSpPr txBox="1"/>
      </xdr:nvSpPr>
      <xdr:spPr>
        <a:xfrm>
          <a:off x="12479262" y="8044543"/>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8</xdr:col>
      <xdr:colOff>156633</xdr:colOff>
      <xdr:row>9</xdr:row>
      <xdr:rowOff>0</xdr:rowOff>
    </xdr:from>
    <xdr:ext cx="184731" cy="262572"/>
    <xdr:sp macro="" textlink="">
      <xdr:nvSpPr>
        <xdr:cNvPr id="10" name="TextBox 4">
          <a:extLst>
            <a:ext uri="{FF2B5EF4-FFF2-40B4-BE49-F238E27FC236}">
              <a16:creationId xmlns:a16="http://schemas.microsoft.com/office/drawing/2014/main" id="{D2823D04-2FCB-4D90-8199-9FDCF7501B51}"/>
            </a:ext>
          </a:extLst>
        </xdr:cNvPr>
        <xdr:cNvSpPr txBox="1"/>
      </xdr:nvSpPr>
      <xdr:spPr>
        <a:xfrm>
          <a:off x="12555462" y="8044543"/>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8</xdr:col>
      <xdr:colOff>80433</xdr:colOff>
      <xdr:row>9</xdr:row>
      <xdr:rowOff>0</xdr:rowOff>
    </xdr:from>
    <xdr:ext cx="184731" cy="262572"/>
    <xdr:sp macro="" textlink="">
      <xdr:nvSpPr>
        <xdr:cNvPr id="11" name="TextBox 5">
          <a:extLst>
            <a:ext uri="{FF2B5EF4-FFF2-40B4-BE49-F238E27FC236}">
              <a16:creationId xmlns:a16="http://schemas.microsoft.com/office/drawing/2014/main" id="{59424B88-0A12-42CD-B553-49B5FFE8B638}"/>
            </a:ext>
          </a:extLst>
        </xdr:cNvPr>
        <xdr:cNvSpPr txBox="1"/>
      </xdr:nvSpPr>
      <xdr:spPr>
        <a:xfrm>
          <a:off x="12479262" y="8044543"/>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7</xdr:col>
      <xdr:colOff>190500</xdr:colOff>
      <xdr:row>11</xdr:row>
      <xdr:rowOff>350520</xdr:rowOff>
    </xdr:from>
    <xdr:ext cx="914400" cy="262572"/>
    <xdr:sp macro="" textlink="">
      <xdr:nvSpPr>
        <xdr:cNvPr id="3" name="TextBox 2">
          <a:extLst>
            <a:ext uri="{FF2B5EF4-FFF2-40B4-BE49-F238E27FC236}">
              <a16:creationId xmlns:a16="http://schemas.microsoft.com/office/drawing/2014/main" id="{34EC7B21-D31B-49FE-8DF2-51B2977B5AAC}"/>
            </a:ext>
          </a:extLst>
        </xdr:cNvPr>
        <xdr:cNvSpPr txBox="1"/>
      </xdr:nvSpPr>
      <xdr:spPr>
        <a:xfrm>
          <a:off x="7358743" y="1368334"/>
          <a:ext cx="914400"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th-TH" sz="1100"/>
        </a:p>
      </xdr:txBody>
    </xdr:sp>
    <xdr:clientData/>
  </xdr:oneCellAnchor>
  <xdr:oneCellAnchor>
    <xdr:from>
      <xdr:col>8</xdr:col>
      <xdr:colOff>99580</xdr:colOff>
      <xdr:row>36</xdr:row>
      <xdr:rowOff>601807</xdr:rowOff>
    </xdr:from>
    <xdr:ext cx="1965614" cy="262572"/>
    <xdr:sp macro="" textlink="">
      <xdr:nvSpPr>
        <xdr:cNvPr id="4" name="TextBox 3">
          <a:extLst>
            <a:ext uri="{FF2B5EF4-FFF2-40B4-BE49-F238E27FC236}">
              <a16:creationId xmlns:a16="http://schemas.microsoft.com/office/drawing/2014/main" id="{A9D1FE5D-23A9-48EA-B079-C02CB456AFFD}"/>
            </a:ext>
          </a:extLst>
        </xdr:cNvPr>
        <xdr:cNvSpPr txBox="1"/>
      </xdr:nvSpPr>
      <xdr:spPr>
        <a:xfrm>
          <a:off x="7458323" y="16533050"/>
          <a:ext cx="1965614" cy="262572"/>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บูรณาการกับการประกวดชุมชน</a:t>
          </a:r>
        </a:p>
      </xdr:txBody>
    </xdr:sp>
    <xdr:clientData/>
  </xdr:oneCellAnchor>
  <xdr:oneCellAnchor>
    <xdr:from>
      <xdr:col>7</xdr:col>
      <xdr:colOff>0</xdr:colOff>
      <xdr:row>39</xdr:row>
      <xdr:rowOff>195943</xdr:rowOff>
    </xdr:from>
    <xdr:ext cx="1965614" cy="489857"/>
    <xdr:sp macro="" textlink="">
      <xdr:nvSpPr>
        <xdr:cNvPr id="5" name="TextBox 4">
          <a:extLst>
            <a:ext uri="{FF2B5EF4-FFF2-40B4-BE49-F238E27FC236}">
              <a16:creationId xmlns:a16="http://schemas.microsoft.com/office/drawing/2014/main" id="{057260F7-B6AF-4746-80FD-5DF230337D59}"/>
            </a:ext>
          </a:extLst>
        </xdr:cNvPr>
        <xdr:cNvSpPr txBox="1"/>
      </xdr:nvSpPr>
      <xdr:spPr>
        <a:xfrm>
          <a:off x="10036628" y="24503743"/>
          <a:ext cx="1965614" cy="489857"/>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h-TH" sz="1100"/>
            <a:t>เอากระบวนงานอื่นมาบูรณาการร่วม เช่น อยู่ใน </a:t>
          </a:r>
          <a:r>
            <a:rPr lang="en-US" sz="1100"/>
            <a:t>Setting</a:t>
          </a:r>
          <a:r>
            <a:rPr lang="en-US" sz="1100" baseline="0"/>
            <a:t> </a:t>
          </a:r>
          <a:r>
            <a:rPr lang="th-TH" sz="1100" baseline="0"/>
            <a:t>ชุมชน</a:t>
          </a:r>
          <a:endParaRPr lang="th-TH" sz="1100"/>
        </a:p>
      </xdr:txBody>
    </xdr:sp>
    <xdr:clientData/>
  </xdr:oneCellAnchor>
  <xdr:oneCellAnchor>
    <xdr:from>
      <xdr:col>8</xdr:col>
      <xdr:colOff>116899</xdr:colOff>
      <xdr:row>61</xdr:row>
      <xdr:rowOff>710046</xdr:rowOff>
    </xdr:from>
    <xdr:ext cx="1965614" cy="262572"/>
    <xdr:sp macro="" textlink="">
      <xdr:nvSpPr>
        <xdr:cNvPr id="6" name="TextBox 5">
          <a:extLst>
            <a:ext uri="{FF2B5EF4-FFF2-40B4-BE49-F238E27FC236}">
              <a16:creationId xmlns:a16="http://schemas.microsoft.com/office/drawing/2014/main" id="{BB386E19-AB22-4317-86FE-C193B8C548CF}"/>
            </a:ext>
          </a:extLst>
        </xdr:cNvPr>
        <xdr:cNvSpPr txBox="1"/>
      </xdr:nvSpPr>
      <xdr:spPr>
        <a:xfrm>
          <a:off x="7475642" y="38238546"/>
          <a:ext cx="1965614" cy="262572"/>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บูรณาการกับปฐมภูมิ</a:t>
          </a:r>
        </a:p>
      </xdr:txBody>
    </xdr:sp>
    <xdr:clientData/>
  </xdr:oneCellAnchor>
  <xdr:oneCellAnchor>
    <xdr:from>
      <xdr:col>8</xdr:col>
      <xdr:colOff>134216</xdr:colOff>
      <xdr:row>63</xdr:row>
      <xdr:rowOff>536863</xdr:rowOff>
    </xdr:from>
    <xdr:ext cx="2679988" cy="432811"/>
    <xdr:sp macro="" textlink="">
      <xdr:nvSpPr>
        <xdr:cNvPr id="7" name="TextBox 6">
          <a:extLst>
            <a:ext uri="{FF2B5EF4-FFF2-40B4-BE49-F238E27FC236}">
              <a16:creationId xmlns:a16="http://schemas.microsoft.com/office/drawing/2014/main" id="{4629E3F2-CAFD-4649-A6F7-39292A5F76B9}"/>
            </a:ext>
          </a:extLst>
        </xdr:cNvPr>
        <xdr:cNvSpPr txBox="1"/>
      </xdr:nvSpPr>
      <xdr:spPr>
        <a:xfrm>
          <a:off x="7492959" y="39284563"/>
          <a:ext cx="2679988" cy="432811"/>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ชะลอไว้ทั้งหมด</a:t>
          </a:r>
        </a:p>
        <a:p>
          <a:r>
            <a:rPr lang="th-TH" sz="1100"/>
            <a:t>ให้บูรณาการกับการประชุมประธาน อสม.</a:t>
          </a:r>
        </a:p>
      </xdr:txBody>
    </xdr:sp>
    <xdr:clientData/>
  </xdr:oneCellAnchor>
  <xdr:oneCellAnchor>
    <xdr:from>
      <xdr:col>3</xdr:col>
      <xdr:colOff>2706</xdr:colOff>
      <xdr:row>93</xdr:row>
      <xdr:rowOff>261938</xdr:rowOff>
    </xdr:from>
    <xdr:ext cx="2294659" cy="271356"/>
    <xdr:sp macro="" textlink="">
      <xdr:nvSpPr>
        <xdr:cNvPr id="9" name="TextBox 19">
          <a:extLst>
            <a:ext uri="{FF2B5EF4-FFF2-40B4-BE49-F238E27FC236}">
              <a16:creationId xmlns:a16="http://schemas.microsoft.com/office/drawing/2014/main" id="{357EB63F-E4C9-4FAF-9792-76132313BD64}"/>
            </a:ext>
          </a:extLst>
        </xdr:cNvPr>
        <xdr:cNvSpPr txBox="1"/>
      </xdr:nvSpPr>
      <xdr:spPr>
        <a:xfrm>
          <a:off x="4879506" y="60465381"/>
          <a:ext cx="2294659" cy="27135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baseline="0"/>
            <a:t>ค่าวิทยากร</a:t>
          </a:r>
          <a:r>
            <a:rPr lang="en-US" sz="1100" baseline="0"/>
            <a:t> </a:t>
          </a:r>
          <a:r>
            <a:rPr lang="th-TH" sz="1100" baseline="0"/>
            <a:t>เบิก รพ.เป้าหมาย</a:t>
          </a:r>
        </a:p>
      </xdr:txBody>
    </xdr:sp>
    <xdr:clientData/>
  </xdr:oneCellAnchor>
  <xdr:oneCellAnchor>
    <xdr:from>
      <xdr:col>8</xdr:col>
      <xdr:colOff>1061314</xdr:colOff>
      <xdr:row>20</xdr:row>
      <xdr:rowOff>663000</xdr:rowOff>
    </xdr:from>
    <xdr:ext cx="1965614" cy="262572"/>
    <xdr:sp macro="" textlink="">
      <xdr:nvSpPr>
        <xdr:cNvPr id="23" name="TextBox 38">
          <a:extLst>
            <a:ext uri="{FF2B5EF4-FFF2-40B4-BE49-F238E27FC236}">
              <a16:creationId xmlns:a16="http://schemas.microsoft.com/office/drawing/2014/main" id="{65C5F113-314D-43CF-9AB7-F57B196A14F9}"/>
            </a:ext>
          </a:extLst>
        </xdr:cNvPr>
        <xdr:cNvSpPr txBox="1"/>
      </xdr:nvSpPr>
      <xdr:spPr>
        <a:xfrm>
          <a:off x="8420057" y="7493786"/>
          <a:ext cx="1965614" cy="262572"/>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บูรณาการกับโครงการปฐมภูมิ</a:t>
          </a:r>
        </a:p>
      </xdr:txBody>
    </xdr:sp>
    <xdr:clientData/>
  </xdr:oneCellAnchor>
  <xdr:oneCellAnchor>
    <xdr:from>
      <xdr:col>8</xdr:col>
      <xdr:colOff>748047</xdr:colOff>
      <xdr:row>21</xdr:row>
      <xdr:rowOff>444984</xdr:rowOff>
    </xdr:from>
    <xdr:ext cx="1965614" cy="450380"/>
    <xdr:sp macro="" textlink="">
      <xdr:nvSpPr>
        <xdr:cNvPr id="24" name="TextBox 39">
          <a:extLst>
            <a:ext uri="{FF2B5EF4-FFF2-40B4-BE49-F238E27FC236}">
              <a16:creationId xmlns:a16="http://schemas.microsoft.com/office/drawing/2014/main" id="{E90EF80C-7647-4B13-8130-D6D148AFC352}"/>
            </a:ext>
          </a:extLst>
        </xdr:cNvPr>
        <xdr:cNvSpPr txBox="1"/>
      </xdr:nvSpPr>
      <xdr:spPr>
        <a:xfrm>
          <a:off x="8106790" y="8494970"/>
          <a:ext cx="1965614" cy="45038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ประกวด </a:t>
          </a:r>
          <a:r>
            <a:rPr lang="en-US" sz="1100"/>
            <a:t>Online</a:t>
          </a:r>
        </a:p>
        <a:p>
          <a:r>
            <a:rPr lang="th-TH" sz="1100"/>
            <a:t>ให้คงไว้เฉพาะค่าวิทยากร</a:t>
          </a:r>
          <a:endParaRPr lang="en-US" sz="1100"/>
        </a:p>
      </xdr:txBody>
    </xdr:sp>
    <xdr:clientData/>
  </xdr:oneCellAnchor>
  <xdr:oneCellAnchor>
    <xdr:from>
      <xdr:col>8</xdr:col>
      <xdr:colOff>494048</xdr:colOff>
      <xdr:row>25</xdr:row>
      <xdr:rowOff>571983</xdr:rowOff>
    </xdr:from>
    <xdr:ext cx="1965614" cy="262572"/>
    <xdr:sp macro="" textlink="">
      <xdr:nvSpPr>
        <xdr:cNvPr id="25" name="TextBox 40">
          <a:extLst>
            <a:ext uri="{FF2B5EF4-FFF2-40B4-BE49-F238E27FC236}">
              <a16:creationId xmlns:a16="http://schemas.microsoft.com/office/drawing/2014/main" id="{082CA8D4-F857-4F34-8194-1DF6987DF409}"/>
            </a:ext>
          </a:extLst>
        </xdr:cNvPr>
        <xdr:cNvSpPr txBox="1"/>
      </xdr:nvSpPr>
      <xdr:spPr>
        <a:xfrm>
          <a:off x="7852791" y="10407226"/>
          <a:ext cx="1965614" cy="262572"/>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บูรณาการกับโครงการปฐมภูมิ</a:t>
          </a:r>
        </a:p>
      </xdr:txBody>
    </xdr:sp>
    <xdr:clientData/>
  </xdr:oneCellAnchor>
  <xdr:oneCellAnchor>
    <xdr:from>
      <xdr:col>8</xdr:col>
      <xdr:colOff>455948</xdr:colOff>
      <xdr:row>28</xdr:row>
      <xdr:rowOff>449217</xdr:rowOff>
    </xdr:from>
    <xdr:ext cx="1965614" cy="271356"/>
    <xdr:sp macro="" textlink="">
      <xdr:nvSpPr>
        <xdr:cNvPr id="26" name="TextBox 41">
          <a:extLst>
            <a:ext uri="{FF2B5EF4-FFF2-40B4-BE49-F238E27FC236}">
              <a16:creationId xmlns:a16="http://schemas.microsoft.com/office/drawing/2014/main" id="{A8949384-A6CC-4DD8-94CF-4EEABEAEF84D}"/>
            </a:ext>
          </a:extLst>
        </xdr:cNvPr>
        <xdr:cNvSpPr txBox="1"/>
      </xdr:nvSpPr>
      <xdr:spPr>
        <a:xfrm>
          <a:off x="7814691" y="12200346"/>
          <a:ext cx="1965614" cy="27135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ใช้ระบบ</a:t>
          </a:r>
          <a:r>
            <a:rPr lang="th-TH" sz="1100" baseline="0"/>
            <a:t> </a:t>
          </a:r>
          <a:r>
            <a:rPr lang="en-US" sz="1100" baseline="0"/>
            <a:t>Online</a:t>
          </a:r>
          <a:endParaRPr lang="th-TH" sz="1100"/>
        </a:p>
      </xdr:txBody>
    </xdr:sp>
    <xdr:clientData/>
  </xdr:oneCellAnchor>
  <xdr:oneCellAnchor>
    <xdr:from>
      <xdr:col>3</xdr:col>
      <xdr:colOff>50994</xdr:colOff>
      <xdr:row>58</xdr:row>
      <xdr:rowOff>818284</xdr:rowOff>
    </xdr:from>
    <xdr:ext cx="1965614" cy="432811"/>
    <xdr:sp macro="" textlink="">
      <xdr:nvSpPr>
        <xdr:cNvPr id="30" name="TextBox 50">
          <a:extLst>
            <a:ext uri="{FF2B5EF4-FFF2-40B4-BE49-F238E27FC236}">
              <a16:creationId xmlns:a16="http://schemas.microsoft.com/office/drawing/2014/main" id="{7B28549D-2D76-4973-A932-B92D37B5B832}"/>
            </a:ext>
          </a:extLst>
        </xdr:cNvPr>
        <xdr:cNvSpPr txBox="1"/>
      </xdr:nvSpPr>
      <xdr:spPr>
        <a:xfrm>
          <a:off x="4927794" y="35734213"/>
          <a:ext cx="1965614" cy="432811"/>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บูรณาการกับการนิเทศงานผสมผสาน</a:t>
          </a:r>
        </a:p>
      </xdr:txBody>
    </xdr:sp>
    <xdr:clientData/>
  </xdr:oneCellAnchor>
  <xdr:oneCellAnchor>
    <xdr:from>
      <xdr:col>5</xdr:col>
      <xdr:colOff>523875</xdr:colOff>
      <xdr:row>1</xdr:row>
      <xdr:rowOff>209550</xdr:rowOff>
    </xdr:from>
    <xdr:ext cx="2066926" cy="285750"/>
    <xdr:sp macro="" textlink="">
      <xdr:nvSpPr>
        <xdr:cNvPr id="32" name="TextBox 2">
          <a:extLst>
            <a:ext uri="{FF2B5EF4-FFF2-40B4-BE49-F238E27FC236}">
              <a16:creationId xmlns:a16="http://schemas.microsoft.com/office/drawing/2014/main" id="{6416F7D0-BDE5-4BC3-9183-954F4DD9C4FF}"/>
            </a:ext>
          </a:extLst>
        </xdr:cNvPr>
        <xdr:cNvSpPr txBox="1"/>
      </xdr:nvSpPr>
      <xdr:spPr>
        <a:xfrm>
          <a:off x="2842532" y="552450"/>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oneCellAnchor>
    <xdr:from>
      <xdr:col>5</xdr:col>
      <xdr:colOff>523875</xdr:colOff>
      <xdr:row>7</xdr:row>
      <xdr:rowOff>0</xdr:rowOff>
    </xdr:from>
    <xdr:ext cx="2066926" cy="285750"/>
    <xdr:sp macro="" textlink="">
      <xdr:nvSpPr>
        <xdr:cNvPr id="2" name="TextBox 2">
          <a:extLst>
            <a:ext uri="{FF2B5EF4-FFF2-40B4-BE49-F238E27FC236}">
              <a16:creationId xmlns:a16="http://schemas.microsoft.com/office/drawing/2014/main" id="{551588FF-02F6-4103-8B0E-C1F1EE55940C}"/>
            </a:ext>
          </a:extLst>
        </xdr:cNvPr>
        <xdr:cNvSpPr txBox="1"/>
      </xdr:nvSpPr>
      <xdr:spPr>
        <a:xfrm>
          <a:off x="5155746" y="1670957"/>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effectLst/>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oneCellAnchor>
    <xdr:from>
      <xdr:col>10</xdr:col>
      <xdr:colOff>190500</xdr:colOff>
      <xdr:row>11</xdr:row>
      <xdr:rowOff>350520</xdr:rowOff>
    </xdr:from>
    <xdr:ext cx="914400" cy="262572"/>
    <xdr:sp macro="" textlink="">
      <xdr:nvSpPr>
        <xdr:cNvPr id="31" name="TextBox 2">
          <a:extLst>
            <a:ext uri="{FF2B5EF4-FFF2-40B4-BE49-F238E27FC236}">
              <a16:creationId xmlns:a16="http://schemas.microsoft.com/office/drawing/2014/main" id="{8735C158-8A33-4AF4-B2D7-2E91B7814D5D}"/>
            </a:ext>
          </a:extLst>
        </xdr:cNvPr>
        <xdr:cNvSpPr txBox="1"/>
      </xdr:nvSpPr>
      <xdr:spPr>
        <a:xfrm>
          <a:off x="10031186" y="2914106"/>
          <a:ext cx="914400"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th-TH" sz="1100"/>
        </a:p>
      </xdr:txBody>
    </xdr:sp>
    <xdr:clientData/>
  </xdr:oneCellAnchor>
  <xdr:oneCellAnchor>
    <xdr:from>
      <xdr:col>11</xdr:col>
      <xdr:colOff>99580</xdr:colOff>
      <xdr:row>36</xdr:row>
      <xdr:rowOff>601807</xdr:rowOff>
    </xdr:from>
    <xdr:ext cx="1965614" cy="262572"/>
    <xdr:sp macro="" textlink="">
      <xdr:nvSpPr>
        <xdr:cNvPr id="33" name="TextBox 3">
          <a:extLst>
            <a:ext uri="{FF2B5EF4-FFF2-40B4-BE49-F238E27FC236}">
              <a16:creationId xmlns:a16="http://schemas.microsoft.com/office/drawing/2014/main" id="{188E8869-8111-465D-B09A-9880C5A8DEA7}"/>
            </a:ext>
          </a:extLst>
        </xdr:cNvPr>
        <xdr:cNvSpPr txBox="1"/>
      </xdr:nvSpPr>
      <xdr:spPr>
        <a:xfrm>
          <a:off x="10130766" y="21643893"/>
          <a:ext cx="1965614" cy="262572"/>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บูรณาการกับการประกวดชุมชน</a:t>
          </a:r>
        </a:p>
      </xdr:txBody>
    </xdr:sp>
    <xdr:clientData/>
  </xdr:oneCellAnchor>
  <xdr:oneCellAnchor>
    <xdr:from>
      <xdr:col>11</xdr:col>
      <xdr:colOff>116898</xdr:colOff>
      <xdr:row>61</xdr:row>
      <xdr:rowOff>710045</xdr:rowOff>
    </xdr:from>
    <xdr:ext cx="2190873" cy="262572"/>
    <xdr:sp macro="" textlink="">
      <xdr:nvSpPr>
        <xdr:cNvPr id="35" name="TextBox 5">
          <a:extLst>
            <a:ext uri="{FF2B5EF4-FFF2-40B4-BE49-F238E27FC236}">
              <a16:creationId xmlns:a16="http://schemas.microsoft.com/office/drawing/2014/main" id="{36A86AAF-242B-4940-8177-B2DED23924CF}"/>
            </a:ext>
          </a:extLst>
        </xdr:cNvPr>
        <xdr:cNvSpPr txBox="1"/>
      </xdr:nvSpPr>
      <xdr:spPr>
        <a:xfrm>
          <a:off x="10153526" y="49434503"/>
          <a:ext cx="2190873" cy="262572"/>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บูรณาการกับปฐมภูมิ</a:t>
          </a:r>
        </a:p>
      </xdr:txBody>
    </xdr:sp>
    <xdr:clientData/>
  </xdr:oneCellAnchor>
  <xdr:oneCellAnchor>
    <xdr:from>
      <xdr:col>11</xdr:col>
      <xdr:colOff>134216</xdr:colOff>
      <xdr:row>63</xdr:row>
      <xdr:rowOff>536863</xdr:rowOff>
    </xdr:from>
    <xdr:ext cx="2679988" cy="606137"/>
    <xdr:sp macro="" textlink="">
      <xdr:nvSpPr>
        <xdr:cNvPr id="36" name="TextBox 6">
          <a:extLst>
            <a:ext uri="{FF2B5EF4-FFF2-40B4-BE49-F238E27FC236}">
              <a16:creationId xmlns:a16="http://schemas.microsoft.com/office/drawing/2014/main" id="{0D3C92F6-EACD-4B7C-97D5-0FB7912FD09F}"/>
            </a:ext>
          </a:extLst>
        </xdr:cNvPr>
        <xdr:cNvSpPr txBox="1"/>
      </xdr:nvSpPr>
      <xdr:spPr>
        <a:xfrm>
          <a:off x="10170844" y="50981263"/>
          <a:ext cx="2679988" cy="606137"/>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h-TH" sz="1100"/>
            <a:t>ชะลอไว้ทั้งหมด</a:t>
          </a:r>
        </a:p>
        <a:p>
          <a:r>
            <a:rPr lang="th-TH" sz="1100"/>
            <a:t>ให้บูรณาการกับการประชุมประธาน อสม.</a:t>
          </a:r>
        </a:p>
      </xdr:txBody>
    </xdr:sp>
    <xdr:clientData/>
  </xdr:oneCellAnchor>
  <xdr:oneCellAnchor>
    <xdr:from>
      <xdr:col>5</xdr:col>
      <xdr:colOff>2177143</xdr:colOff>
      <xdr:row>81</xdr:row>
      <xdr:rowOff>489857</xdr:rowOff>
    </xdr:from>
    <xdr:ext cx="3086843" cy="468087"/>
    <xdr:sp macro="" textlink="">
      <xdr:nvSpPr>
        <xdr:cNvPr id="37" name="TextBox 11">
          <a:extLst>
            <a:ext uri="{FF2B5EF4-FFF2-40B4-BE49-F238E27FC236}">
              <a16:creationId xmlns:a16="http://schemas.microsoft.com/office/drawing/2014/main" id="{24267FB4-01C7-45D7-86C6-FDFE2A59325F}"/>
            </a:ext>
          </a:extLst>
        </xdr:cNvPr>
        <xdr:cNvSpPr txBox="1"/>
      </xdr:nvSpPr>
      <xdr:spPr>
        <a:xfrm>
          <a:off x="6814457" y="66065399"/>
          <a:ext cx="3086843" cy="468087"/>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h-TH" sz="1100"/>
            <a:t>ลดจำนวนครั้ง</a:t>
          </a:r>
          <a:r>
            <a:rPr lang="th-TH" sz="1100" baseline="0"/>
            <a:t> เหลือ </a:t>
          </a:r>
          <a:r>
            <a:rPr lang="en-US" sz="1100" baseline="0"/>
            <a:t>1 </a:t>
          </a:r>
          <a:r>
            <a:rPr lang="th-TH" sz="1100" baseline="0"/>
            <a:t>ครั้ง</a:t>
          </a:r>
        </a:p>
        <a:p>
          <a:r>
            <a:rPr lang="th-TH" sz="1100" baseline="0"/>
            <a:t>บูรณาการกับกลุ่มงาน </a:t>
          </a:r>
          <a:r>
            <a:rPr lang="en-US" sz="1100" baseline="0"/>
            <a:t>NCD </a:t>
          </a:r>
          <a:r>
            <a:rPr lang="th-TH" sz="1100" baseline="0"/>
            <a:t>คนละครึ่งวัน</a:t>
          </a:r>
          <a:endParaRPr lang="th-TH" sz="1100"/>
        </a:p>
      </xdr:txBody>
    </xdr:sp>
    <xdr:clientData/>
  </xdr:oneCellAnchor>
  <xdr:oneCellAnchor>
    <xdr:from>
      <xdr:col>6</xdr:col>
      <xdr:colOff>2706</xdr:colOff>
      <xdr:row>93</xdr:row>
      <xdr:rowOff>261938</xdr:rowOff>
    </xdr:from>
    <xdr:ext cx="2294659" cy="271356"/>
    <xdr:sp macro="" textlink="">
      <xdr:nvSpPr>
        <xdr:cNvPr id="38" name="TextBox 19">
          <a:extLst>
            <a:ext uri="{FF2B5EF4-FFF2-40B4-BE49-F238E27FC236}">
              <a16:creationId xmlns:a16="http://schemas.microsoft.com/office/drawing/2014/main" id="{14A9CAAC-CD2F-4BD0-97D4-38A98DE7447F}"/>
            </a:ext>
          </a:extLst>
        </xdr:cNvPr>
        <xdr:cNvSpPr txBox="1"/>
      </xdr:nvSpPr>
      <xdr:spPr>
        <a:xfrm>
          <a:off x="7551949" y="76010181"/>
          <a:ext cx="2294659" cy="27135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baseline="0"/>
            <a:t>ค่าวิทยากร</a:t>
          </a:r>
          <a:r>
            <a:rPr lang="en-US" sz="1100" baseline="0"/>
            <a:t> </a:t>
          </a:r>
          <a:r>
            <a:rPr lang="th-TH" sz="1100" baseline="0"/>
            <a:t>เบิก รพ.เป้าหมาย</a:t>
          </a:r>
        </a:p>
      </xdr:txBody>
    </xdr:sp>
    <xdr:clientData/>
  </xdr:oneCellAnchor>
  <xdr:oneCellAnchor>
    <xdr:from>
      <xdr:col>6</xdr:col>
      <xdr:colOff>2199301</xdr:colOff>
      <xdr:row>99</xdr:row>
      <xdr:rowOff>491295</xdr:rowOff>
    </xdr:from>
    <xdr:ext cx="2294659" cy="271356"/>
    <xdr:sp macro="" textlink="">
      <xdr:nvSpPr>
        <xdr:cNvPr id="39" name="TextBox 22">
          <a:extLst>
            <a:ext uri="{FF2B5EF4-FFF2-40B4-BE49-F238E27FC236}">
              <a16:creationId xmlns:a16="http://schemas.microsoft.com/office/drawing/2014/main" id="{5EB3BF0E-2FE9-4E29-8283-E267589CD1FB}"/>
            </a:ext>
          </a:extLst>
        </xdr:cNvPr>
        <xdr:cNvSpPr txBox="1"/>
      </xdr:nvSpPr>
      <xdr:spPr>
        <a:xfrm>
          <a:off x="9748544" y="82145038"/>
          <a:ext cx="2294659" cy="27135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baseline="0"/>
            <a:t>ประชุม </a:t>
          </a:r>
          <a:r>
            <a:rPr lang="en-US" sz="1100" baseline="0"/>
            <a:t>Online </a:t>
          </a:r>
          <a:r>
            <a:rPr lang="th-TH" sz="1100" baseline="0"/>
            <a:t> </a:t>
          </a:r>
          <a:r>
            <a:rPr lang="en-US" sz="1100" baseline="0"/>
            <a:t>1</a:t>
          </a:r>
          <a:r>
            <a:rPr lang="th-TH" sz="1100" baseline="0"/>
            <a:t> ครั้ง </a:t>
          </a:r>
          <a:r>
            <a:rPr lang="en-US" sz="1100" baseline="0"/>
            <a:t>Onsite 2 </a:t>
          </a:r>
          <a:r>
            <a:rPr lang="th-TH" sz="1100" baseline="0"/>
            <a:t>ครั้ง</a:t>
          </a:r>
        </a:p>
      </xdr:txBody>
    </xdr:sp>
    <xdr:clientData/>
  </xdr:oneCellAnchor>
  <xdr:oneCellAnchor>
    <xdr:from>
      <xdr:col>6</xdr:col>
      <xdr:colOff>2242381</xdr:colOff>
      <xdr:row>100</xdr:row>
      <xdr:rowOff>626377</xdr:rowOff>
    </xdr:from>
    <xdr:ext cx="2294659" cy="271356"/>
    <xdr:sp macro="" textlink="">
      <xdr:nvSpPr>
        <xdr:cNvPr id="40" name="TextBox 23">
          <a:extLst>
            <a:ext uri="{FF2B5EF4-FFF2-40B4-BE49-F238E27FC236}">
              <a16:creationId xmlns:a16="http://schemas.microsoft.com/office/drawing/2014/main" id="{8C97BD08-A7F2-4F3D-8D21-C28D7B2AEA3A}"/>
            </a:ext>
          </a:extLst>
        </xdr:cNvPr>
        <xdr:cNvSpPr txBox="1"/>
      </xdr:nvSpPr>
      <xdr:spPr>
        <a:xfrm>
          <a:off x="9791624" y="83613620"/>
          <a:ext cx="2294659" cy="27135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baseline="0"/>
            <a:t>ประชุม </a:t>
          </a:r>
          <a:r>
            <a:rPr lang="en-US" sz="1100" baseline="0"/>
            <a:t>Online </a:t>
          </a:r>
          <a:r>
            <a:rPr lang="th-TH" sz="1100" baseline="0"/>
            <a:t> </a:t>
          </a:r>
          <a:r>
            <a:rPr lang="en-US" sz="1100" baseline="0"/>
            <a:t>1</a:t>
          </a:r>
          <a:r>
            <a:rPr lang="th-TH" sz="1100" baseline="0"/>
            <a:t> ครั้ง </a:t>
          </a:r>
          <a:r>
            <a:rPr lang="en-US" sz="1100" baseline="0"/>
            <a:t>Onsite 1 </a:t>
          </a:r>
          <a:r>
            <a:rPr lang="th-TH" sz="1100" baseline="0"/>
            <a:t>ครั้ง</a:t>
          </a:r>
        </a:p>
      </xdr:txBody>
    </xdr:sp>
    <xdr:clientData/>
  </xdr:oneCellAnchor>
  <xdr:oneCellAnchor>
    <xdr:from>
      <xdr:col>6</xdr:col>
      <xdr:colOff>2163691</xdr:colOff>
      <xdr:row>101</xdr:row>
      <xdr:rowOff>544982</xdr:rowOff>
    </xdr:from>
    <xdr:ext cx="2294659" cy="271356"/>
    <xdr:sp macro="" textlink="">
      <xdr:nvSpPr>
        <xdr:cNvPr id="41" name="TextBox 24">
          <a:extLst>
            <a:ext uri="{FF2B5EF4-FFF2-40B4-BE49-F238E27FC236}">
              <a16:creationId xmlns:a16="http://schemas.microsoft.com/office/drawing/2014/main" id="{12A13C15-0604-4F8A-9258-BCA6F8A5D34A}"/>
            </a:ext>
          </a:extLst>
        </xdr:cNvPr>
        <xdr:cNvSpPr txBox="1"/>
      </xdr:nvSpPr>
      <xdr:spPr>
        <a:xfrm>
          <a:off x="9712934" y="84675225"/>
          <a:ext cx="2294659" cy="27135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baseline="0"/>
            <a:t>ให้บูรณาการกับโครงการ </a:t>
          </a:r>
          <a:r>
            <a:rPr lang="en-US" sz="1100" baseline="0"/>
            <a:t>18.1</a:t>
          </a:r>
          <a:endParaRPr lang="th-TH" sz="1100" baseline="0"/>
        </a:p>
      </xdr:txBody>
    </xdr:sp>
    <xdr:clientData/>
  </xdr:oneCellAnchor>
  <xdr:oneCellAnchor>
    <xdr:from>
      <xdr:col>6</xdr:col>
      <xdr:colOff>2239784</xdr:colOff>
      <xdr:row>102</xdr:row>
      <xdr:rowOff>566954</xdr:rowOff>
    </xdr:from>
    <xdr:ext cx="2294659" cy="271356"/>
    <xdr:sp macro="" textlink="">
      <xdr:nvSpPr>
        <xdr:cNvPr id="42" name="TextBox 25">
          <a:extLst>
            <a:ext uri="{FF2B5EF4-FFF2-40B4-BE49-F238E27FC236}">
              <a16:creationId xmlns:a16="http://schemas.microsoft.com/office/drawing/2014/main" id="{9ECE0C2A-3ACE-4A58-A74F-8239658C4AD2}"/>
            </a:ext>
          </a:extLst>
        </xdr:cNvPr>
        <xdr:cNvSpPr txBox="1"/>
      </xdr:nvSpPr>
      <xdr:spPr>
        <a:xfrm>
          <a:off x="9789027" y="86030697"/>
          <a:ext cx="2294659" cy="27135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baseline="0"/>
            <a:t>ปรับเป็นจัด </a:t>
          </a:r>
          <a:r>
            <a:rPr lang="en-US" sz="1100" baseline="0"/>
            <a:t>1 </a:t>
          </a:r>
          <a:r>
            <a:rPr lang="th-TH" sz="1100" baseline="0"/>
            <a:t>รุ่น</a:t>
          </a:r>
        </a:p>
      </xdr:txBody>
    </xdr:sp>
    <xdr:clientData/>
  </xdr:oneCellAnchor>
  <xdr:oneCellAnchor>
    <xdr:from>
      <xdr:col>6</xdr:col>
      <xdr:colOff>1875789</xdr:colOff>
      <xdr:row>113</xdr:row>
      <xdr:rowOff>866403</xdr:rowOff>
    </xdr:from>
    <xdr:ext cx="2294659" cy="271356"/>
    <xdr:sp macro="" textlink="">
      <xdr:nvSpPr>
        <xdr:cNvPr id="43" name="TextBox 29">
          <a:extLst>
            <a:ext uri="{FF2B5EF4-FFF2-40B4-BE49-F238E27FC236}">
              <a16:creationId xmlns:a16="http://schemas.microsoft.com/office/drawing/2014/main" id="{56B8D0E7-DB16-4674-97F6-6ACD8AD27A1A}"/>
            </a:ext>
          </a:extLst>
        </xdr:cNvPr>
        <xdr:cNvSpPr txBox="1"/>
      </xdr:nvSpPr>
      <xdr:spPr>
        <a:xfrm>
          <a:off x="9425032" y="96883846"/>
          <a:ext cx="2294659" cy="27135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baseline="0"/>
            <a:t>ลดลง เหลือ </a:t>
          </a:r>
          <a:r>
            <a:rPr lang="en-US" sz="1100" baseline="0"/>
            <a:t>1 </a:t>
          </a:r>
          <a:r>
            <a:rPr lang="th-TH" sz="1100" baseline="0"/>
            <a:t>ครั้ง</a:t>
          </a:r>
        </a:p>
      </xdr:txBody>
    </xdr:sp>
    <xdr:clientData/>
  </xdr:oneCellAnchor>
  <xdr:oneCellAnchor>
    <xdr:from>
      <xdr:col>6</xdr:col>
      <xdr:colOff>2180324</xdr:colOff>
      <xdr:row>116</xdr:row>
      <xdr:rowOff>1002928</xdr:rowOff>
    </xdr:from>
    <xdr:ext cx="2294659" cy="271356"/>
    <xdr:sp macro="" textlink="">
      <xdr:nvSpPr>
        <xdr:cNvPr id="44" name="TextBox 30">
          <a:extLst>
            <a:ext uri="{FF2B5EF4-FFF2-40B4-BE49-F238E27FC236}">
              <a16:creationId xmlns:a16="http://schemas.microsoft.com/office/drawing/2014/main" id="{9D646707-DCD7-4C52-AF72-4DD5B0AA6BE4}"/>
            </a:ext>
          </a:extLst>
        </xdr:cNvPr>
        <xdr:cNvSpPr txBox="1"/>
      </xdr:nvSpPr>
      <xdr:spPr>
        <a:xfrm>
          <a:off x="9729567" y="100433042"/>
          <a:ext cx="2294659" cy="27135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baseline="0"/>
            <a:t>ลดลง เหลือ </a:t>
          </a:r>
          <a:r>
            <a:rPr lang="en-US" sz="1100" baseline="0"/>
            <a:t>1 </a:t>
          </a:r>
          <a:r>
            <a:rPr lang="th-TH" sz="1100" baseline="0"/>
            <a:t>ครั้ง</a:t>
          </a:r>
        </a:p>
      </xdr:txBody>
    </xdr:sp>
    <xdr:clientData/>
  </xdr:oneCellAnchor>
  <xdr:oneCellAnchor>
    <xdr:from>
      <xdr:col>6</xdr:col>
      <xdr:colOff>1980167</xdr:colOff>
      <xdr:row>119</xdr:row>
      <xdr:rowOff>769697</xdr:rowOff>
    </xdr:from>
    <xdr:ext cx="2294659" cy="441596"/>
    <xdr:sp macro="" textlink="">
      <xdr:nvSpPr>
        <xdr:cNvPr id="45" name="TextBox 31">
          <a:extLst>
            <a:ext uri="{FF2B5EF4-FFF2-40B4-BE49-F238E27FC236}">
              <a16:creationId xmlns:a16="http://schemas.microsoft.com/office/drawing/2014/main" id="{70378128-C502-4DFB-9E84-25347AC1F289}"/>
            </a:ext>
          </a:extLst>
        </xdr:cNvPr>
        <xdr:cNvSpPr txBox="1"/>
      </xdr:nvSpPr>
      <xdr:spPr>
        <a:xfrm>
          <a:off x="9529410" y="103819311"/>
          <a:ext cx="2294659" cy="44159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baseline="0"/>
            <a:t>ตามความเป็นจริง </a:t>
          </a:r>
          <a:r>
            <a:rPr lang="en-US" sz="1100" baseline="0"/>
            <a:t>4 </a:t>
          </a:r>
          <a:r>
            <a:rPr lang="th-TH" sz="1100" baseline="0"/>
            <a:t>ครั้งต่อปี </a:t>
          </a:r>
        </a:p>
        <a:p>
          <a:r>
            <a:rPr lang="th-TH" sz="1100" baseline="0"/>
            <a:t>(ไม่มีกิจกรรมตัดคืน)</a:t>
          </a:r>
        </a:p>
      </xdr:txBody>
    </xdr:sp>
    <xdr:clientData/>
  </xdr:oneCellAnchor>
  <xdr:oneCellAnchor>
    <xdr:from>
      <xdr:col>12</xdr:col>
      <xdr:colOff>354536</xdr:colOff>
      <xdr:row>17</xdr:row>
      <xdr:rowOff>330947</xdr:rowOff>
    </xdr:from>
    <xdr:ext cx="2007664" cy="262572"/>
    <xdr:sp macro="" textlink="">
      <xdr:nvSpPr>
        <xdr:cNvPr id="50" name="TextBox 36">
          <a:extLst>
            <a:ext uri="{FF2B5EF4-FFF2-40B4-BE49-F238E27FC236}">
              <a16:creationId xmlns:a16="http://schemas.microsoft.com/office/drawing/2014/main" id="{7867F26B-8A58-45E4-965C-7C637A074263}"/>
            </a:ext>
          </a:extLst>
        </xdr:cNvPr>
        <xdr:cNvSpPr txBox="1"/>
      </xdr:nvSpPr>
      <xdr:spPr>
        <a:xfrm>
          <a:off x="14299136" y="7548175"/>
          <a:ext cx="2007664" cy="262572"/>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บูรณาการกับงานปฐมภูมิ</a:t>
          </a:r>
        </a:p>
      </xdr:txBody>
    </xdr:sp>
    <xdr:clientData/>
  </xdr:oneCellAnchor>
  <xdr:oneCellAnchor>
    <xdr:from>
      <xdr:col>11</xdr:col>
      <xdr:colOff>494048</xdr:colOff>
      <xdr:row>25</xdr:row>
      <xdr:rowOff>571983</xdr:rowOff>
    </xdr:from>
    <xdr:ext cx="1965614" cy="262572"/>
    <xdr:sp macro="" textlink="">
      <xdr:nvSpPr>
        <xdr:cNvPr id="54" name="TextBox 40">
          <a:extLst>
            <a:ext uri="{FF2B5EF4-FFF2-40B4-BE49-F238E27FC236}">
              <a16:creationId xmlns:a16="http://schemas.microsoft.com/office/drawing/2014/main" id="{2BA055DA-7447-4D3C-B52C-E59CFEFBC435}"/>
            </a:ext>
          </a:extLst>
        </xdr:cNvPr>
        <xdr:cNvSpPr txBox="1"/>
      </xdr:nvSpPr>
      <xdr:spPr>
        <a:xfrm>
          <a:off x="10525234" y="13613069"/>
          <a:ext cx="1965614" cy="262572"/>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บูรณาการกับโครงการปฐมภูมิ</a:t>
          </a:r>
        </a:p>
      </xdr:txBody>
    </xdr:sp>
    <xdr:clientData/>
  </xdr:oneCellAnchor>
  <xdr:oneCellAnchor>
    <xdr:from>
      <xdr:col>11</xdr:col>
      <xdr:colOff>455948</xdr:colOff>
      <xdr:row>28</xdr:row>
      <xdr:rowOff>449217</xdr:rowOff>
    </xdr:from>
    <xdr:ext cx="1965614" cy="271356"/>
    <xdr:sp macro="" textlink="">
      <xdr:nvSpPr>
        <xdr:cNvPr id="55" name="TextBox 41">
          <a:extLst>
            <a:ext uri="{FF2B5EF4-FFF2-40B4-BE49-F238E27FC236}">
              <a16:creationId xmlns:a16="http://schemas.microsoft.com/office/drawing/2014/main" id="{BBD326C1-EE7A-4E41-9C78-7DF9521B1E1D}"/>
            </a:ext>
          </a:extLst>
        </xdr:cNvPr>
        <xdr:cNvSpPr txBox="1"/>
      </xdr:nvSpPr>
      <xdr:spPr>
        <a:xfrm>
          <a:off x="10487134" y="15966803"/>
          <a:ext cx="1965614" cy="27135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ใช้ระบบ</a:t>
          </a:r>
          <a:r>
            <a:rPr lang="th-TH" sz="1100" baseline="0"/>
            <a:t> </a:t>
          </a:r>
          <a:r>
            <a:rPr lang="en-US" sz="1100" baseline="0"/>
            <a:t>Online</a:t>
          </a:r>
          <a:endParaRPr lang="th-TH" sz="1100"/>
        </a:p>
      </xdr:txBody>
    </xdr:sp>
    <xdr:clientData/>
  </xdr:oneCellAnchor>
  <xdr:oneCellAnchor>
    <xdr:from>
      <xdr:col>6</xdr:col>
      <xdr:colOff>2460170</xdr:colOff>
      <xdr:row>35</xdr:row>
      <xdr:rowOff>407279</xdr:rowOff>
    </xdr:from>
    <xdr:ext cx="2427515" cy="262572"/>
    <xdr:sp macro="" textlink="">
      <xdr:nvSpPr>
        <xdr:cNvPr id="57" name="TextBox 43">
          <a:extLst>
            <a:ext uri="{FF2B5EF4-FFF2-40B4-BE49-F238E27FC236}">
              <a16:creationId xmlns:a16="http://schemas.microsoft.com/office/drawing/2014/main" id="{5FCACDBF-39B1-41F7-ABCB-FD131272FCEC}"/>
            </a:ext>
          </a:extLst>
        </xdr:cNvPr>
        <xdr:cNvSpPr txBox="1"/>
      </xdr:nvSpPr>
      <xdr:spPr>
        <a:xfrm>
          <a:off x="10014856" y="22026307"/>
          <a:ext cx="2427515" cy="262572"/>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บูรณาการกับนิเทศงานผสมผสาน</a:t>
          </a:r>
        </a:p>
      </xdr:txBody>
    </xdr:sp>
    <xdr:clientData/>
  </xdr:oneCellAnchor>
  <xdr:oneCellAnchor>
    <xdr:from>
      <xdr:col>11</xdr:col>
      <xdr:colOff>213976</xdr:colOff>
      <xdr:row>48</xdr:row>
      <xdr:rowOff>822518</xdr:rowOff>
    </xdr:from>
    <xdr:ext cx="1965614" cy="271356"/>
    <xdr:sp macro="" textlink="">
      <xdr:nvSpPr>
        <xdr:cNvPr id="58" name="TextBox 45">
          <a:extLst>
            <a:ext uri="{FF2B5EF4-FFF2-40B4-BE49-F238E27FC236}">
              <a16:creationId xmlns:a16="http://schemas.microsoft.com/office/drawing/2014/main" id="{59007381-9605-4D27-9CE8-DC9646D25AF4}"/>
            </a:ext>
          </a:extLst>
        </xdr:cNvPr>
        <xdr:cNvSpPr txBox="1"/>
      </xdr:nvSpPr>
      <xdr:spPr>
        <a:xfrm>
          <a:off x="10245162" y="31199104"/>
          <a:ext cx="1965614" cy="27135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ลดเหลือ </a:t>
          </a:r>
          <a:r>
            <a:rPr lang="en-US" sz="1100"/>
            <a:t>10 </a:t>
          </a:r>
          <a:r>
            <a:rPr lang="th-TH" sz="1100"/>
            <a:t>คน เหลือเบรคบ่าย</a:t>
          </a:r>
        </a:p>
      </xdr:txBody>
    </xdr:sp>
    <xdr:clientData/>
  </xdr:oneCellAnchor>
  <xdr:oneCellAnchor>
    <xdr:from>
      <xdr:col>11</xdr:col>
      <xdr:colOff>573507</xdr:colOff>
      <xdr:row>58</xdr:row>
      <xdr:rowOff>263110</xdr:rowOff>
    </xdr:from>
    <xdr:ext cx="1965614" cy="432811"/>
    <xdr:sp macro="" textlink="">
      <xdr:nvSpPr>
        <xdr:cNvPr id="59" name="TextBox 50">
          <a:extLst>
            <a:ext uri="{FF2B5EF4-FFF2-40B4-BE49-F238E27FC236}">
              <a16:creationId xmlns:a16="http://schemas.microsoft.com/office/drawing/2014/main" id="{762BDC1D-E847-406F-85CF-5169A790B25E}"/>
            </a:ext>
          </a:extLst>
        </xdr:cNvPr>
        <xdr:cNvSpPr txBox="1"/>
      </xdr:nvSpPr>
      <xdr:spPr>
        <a:xfrm>
          <a:off x="10610135" y="45743624"/>
          <a:ext cx="1965614" cy="432811"/>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h-TH" sz="1100"/>
            <a:t>บูรณาการกับการนิเทศงานผสมผสาน</a:t>
          </a:r>
        </a:p>
      </xdr:txBody>
    </xdr:sp>
    <xdr:clientData/>
  </xdr:oneCellAnchor>
  <xdr:oneCellAnchor>
    <xdr:from>
      <xdr:col>5</xdr:col>
      <xdr:colOff>523875</xdr:colOff>
      <xdr:row>1</xdr:row>
      <xdr:rowOff>209550</xdr:rowOff>
    </xdr:from>
    <xdr:ext cx="2066926" cy="285750"/>
    <xdr:sp macro="" textlink="">
      <xdr:nvSpPr>
        <xdr:cNvPr id="60" name="TextBox 2">
          <a:extLst>
            <a:ext uri="{FF2B5EF4-FFF2-40B4-BE49-F238E27FC236}">
              <a16:creationId xmlns:a16="http://schemas.microsoft.com/office/drawing/2014/main" id="{E73F7C02-472C-452D-81AF-C4996724EFDA}"/>
            </a:ext>
          </a:extLst>
        </xdr:cNvPr>
        <xdr:cNvSpPr txBox="1"/>
      </xdr:nvSpPr>
      <xdr:spPr>
        <a:xfrm>
          <a:off x="5155746" y="400050"/>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effectLst/>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5</xdr:col>
      <xdr:colOff>523875</xdr:colOff>
      <xdr:row>1</xdr:row>
      <xdr:rowOff>209550</xdr:rowOff>
    </xdr:from>
    <xdr:ext cx="2066926" cy="285750"/>
    <xdr:sp macro="" textlink="">
      <xdr:nvSpPr>
        <xdr:cNvPr id="2" name="TextBox 2">
          <a:extLst>
            <a:ext uri="{FF2B5EF4-FFF2-40B4-BE49-F238E27FC236}">
              <a16:creationId xmlns:a16="http://schemas.microsoft.com/office/drawing/2014/main" id="{F41F5BF2-9308-481E-8289-8795DF922EB1}"/>
            </a:ext>
          </a:extLst>
        </xdr:cNvPr>
        <xdr:cNvSpPr txBox="1"/>
      </xdr:nvSpPr>
      <xdr:spPr>
        <a:xfrm>
          <a:off x="8405132" y="514350"/>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panose="05000000000000000000" pitchFamily="2" charset="2"/>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100">
              <a:solidFill>
                <a:schemeClr val="tx1"/>
              </a:solidFill>
              <a:effectLst/>
              <a:latin typeface="+mn-lt"/>
              <a:ea typeface="+mn-ea"/>
              <a:cs typeface="+mn-cs"/>
              <a:sym typeface="Wingdings" panose="05000000000000000000" pitchFamily="2" charset="2"/>
            </a:rPr>
            <a:t></a:t>
          </a:r>
          <a:r>
            <a:rPr lang="en-US" sz="1100" baseline="0">
              <a:solidFill>
                <a:schemeClr val="tx1"/>
              </a:solidFill>
              <a:effectLst/>
              <a:latin typeface="+mn-lt"/>
              <a:ea typeface="+mn-ea"/>
              <a:cs typeface="+mn-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5</xdr:col>
      <xdr:colOff>518432</xdr:colOff>
      <xdr:row>1</xdr:row>
      <xdr:rowOff>214993</xdr:rowOff>
    </xdr:from>
    <xdr:ext cx="2072380" cy="285750"/>
    <xdr:sp macro="" textlink="">
      <xdr:nvSpPr>
        <xdr:cNvPr id="2" name="TextBox 2">
          <a:extLst>
            <a:ext uri="{FF2B5EF4-FFF2-40B4-BE49-F238E27FC236}">
              <a16:creationId xmlns:a16="http://schemas.microsoft.com/office/drawing/2014/main" id="{DE8B5FDC-E713-4D20-A39D-069E87AF5321}"/>
            </a:ext>
          </a:extLst>
        </xdr:cNvPr>
        <xdr:cNvSpPr txBox="1"/>
      </xdr:nvSpPr>
      <xdr:spPr>
        <a:xfrm>
          <a:off x="3952875" y="372836"/>
          <a:ext cx="2072380"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twoCellAnchor>
    <xdr:from>
      <xdr:col>6</xdr:col>
      <xdr:colOff>193358</xdr:colOff>
      <xdr:row>2</xdr:row>
      <xdr:rowOff>30480</xdr:rowOff>
    </xdr:from>
    <xdr:to>
      <xdr:col>6</xdr:col>
      <xdr:colOff>355939</xdr:colOff>
      <xdr:row>2</xdr:row>
      <xdr:rowOff>165418</xdr:rowOff>
    </xdr:to>
    <xdr:cxnSp macro="">
      <xdr:nvCxnSpPr>
        <xdr:cNvPr id="3" name="Straight Connector 3">
          <a:extLst>
            <a:ext uri="{FF2B5EF4-FFF2-40B4-BE49-F238E27FC236}">
              <a16:creationId xmlns:a16="http://schemas.microsoft.com/office/drawing/2014/main" id="{CC5E64BF-9B16-4859-ABC0-70606DF1E455}"/>
            </a:ext>
          </a:extLst>
        </xdr:cNvPr>
        <xdr:cNvCxnSpPr/>
      </xdr:nvCxnSpPr>
      <xdr:spPr>
        <a:xfrm flipV="1">
          <a:off x="4977629" y="444137"/>
          <a:ext cx="162581" cy="1349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62</xdr:row>
      <xdr:rowOff>506186</xdr:rowOff>
    </xdr:from>
    <xdr:to>
      <xdr:col>13</xdr:col>
      <xdr:colOff>420774</xdr:colOff>
      <xdr:row>62</xdr:row>
      <xdr:rowOff>952500</xdr:rowOff>
    </xdr:to>
    <xdr:sp macro="" textlink="">
      <xdr:nvSpPr>
        <xdr:cNvPr id="4" name="กล่องข้อความ 3">
          <a:extLst>
            <a:ext uri="{FF2B5EF4-FFF2-40B4-BE49-F238E27FC236}">
              <a16:creationId xmlns:a16="http://schemas.microsoft.com/office/drawing/2014/main" id="{B7DAD9B2-706E-4468-99C4-E7E982B06216}"/>
            </a:ext>
          </a:extLst>
        </xdr:cNvPr>
        <xdr:cNvSpPr txBox="1"/>
      </xdr:nvSpPr>
      <xdr:spPr>
        <a:xfrm>
          <a:off x="9171214" y="49497343"/>
          <a:ext cx="1536560" cy="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ค่าอาหาร/เบรค</a:t>
          </a:r>
          <a:r>
            <a:rPr lang="th-TH" sz="1100" baseline="0"/>
            <a:t> ไม่เกิน </a:t>
          </a:r>
          <a:r>
            <a:rPr lang="en-US" sz="1100" baseline="0"/>
            <a:t>120 </a:t>
          </a:r>
          <a:endParaRPr lang="th-TH" sz="1100"/>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5</xdr:col>
      <xdr:colOff>523875</xdr:colOff>
      <xdr:row>1</xdr:row>
      <xdr:rowOff>209550</xdr:rowOff>
    </xdr:from>
    <xdr:ext cx="2066926" cy="285750"/>
    <xdr:sp macro="" textlink="">
      <xdr:nvSpPr>
        <xdr:cNvPr id="2" name="TextBox 2">
          <a:extLst>
            <a:ext uri="{FF2B5EF4-FFF2-40B4-BE49-F238E27FC236}">
              <a16:creationId xmlns:a16="http://schemas.microsoft.com/office/drawing/2014/main" id="{E7CC6D99-F174-40C9-A15B-38393A72096F}"/>
            </a:ext>
          </a:extLst>
        </xdr:cNvPr>
        <xdr:cNvSpPr txBox="1"/>
      </xdr:nvSpPr>
      <xdr:spPr>
        <a:xfrm>
          <a:off x="3865789" y="367393"/>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twoCellAnchor>
    <xdr:from>
      <xdr:col>13</xdr:col>
      <xdr:colOff>0</xdr:colOff>
      <xdr:row>12</xdr:row>
      <xdr:rowOff>226786</xdr:rowOff>
    </xdr:from>
    <xdr:to>
      <xdr:col>14</xdr:col>
      <xdr:colOff>439964</xdr:colOff>
      <xdr:row>12</xdr:row>
      <xdr:rowOff>676141</xdr:rowOff>
    </xdr:to>
    <xdr:sp macro="" textlink="">
      <xdr:nvSpPr>
        <xdr:cNvPr id="4" name="กล่องข้อความ 3">
          <a:extLst>
            <a:ext uri="{FF2B5EF4-FFF2-40B4-BE49-F238E27FC236}">
              <a16:creationId xmlns:a16="http://schemas.microsoft.com/office/drawing/2014/main" id="{583D73EA-6FB7-455A-B15D-60EEB36DA118}"/>
            </a:ext>
          </a:extLst>
        </xdr:cNvPr>
        <xdr:cNvSpPr txBox="1"/>
      </xdr:nvSpPr>
      <xdr:spPr>
        <a:xfrm>
          <a:off x="9372600" y="3764643"/>
          <a:ext cx="1523093" cy="44935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ปรับ ออนไลน์ </a:t>
          </a:r>
        </a:p>
      </xdr:txBody>
    </xdr:sp>
    <xdr:clientData/>
  </xdr:twoCellAnchor>
  <xdr:twoCellAnchor>
    <xdr:from>
      <xdr:col>13</xdr:col>
      <xdr:colOff>254000</xdr:colOff>
      <xdr:row>43</xdr:row>
      <xdr:rowOff>136072</xdr:rowOff>
    </xdr:from>
    <xdr:to>
      <xdr:col>16</xdr:col>
      <xdr:colOff>299357</xdr:colOff>
      <xdr:row>44</xdr:row>
      <xdr:rowOff>1686</xdr:rowOff>
    </xdr:to>
    <xdr:sp macro="" textlink="">
      <xdr:nvSpPr>
        <xdr:cNvPr id="6" name="กล่องข้อความ 5">
          <a:extLst>
            <a:ext uri="{FF2B5EF4-FFF2-40B4-BE49-F238E27FC236}">
              <a16:creationId xmlns:a16="http://schemas.microsoft.com/office/drawing/2014/main" id="{974CC84F-2E8A-4874-A7DA-89B728A09F5D}"/>
            </a:ext>
          </a:extLst>
        </xdr:cNvPr>
        <xdr:cNvSpPr txBox="1"/>
      </xdr:nvSpPr>
      <xdr:spPr>
        <a:xfrm>
          <a:off x="9316357" y="44368357"/>
          <a:ext cx="3283857" cy="1171901"/>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บูรณาการกับการประชุมงาน</a:t>
          </a:r>
          <a:r>
            <a:rPr lang="th-TH" sz="1100" baseline="0"/>
            <a:t> สร.</a:t>
          </a:r>
          <a:r>
            <a:rPr lang="en-US" sz="1100" baseline="0"/>
            <a:t> </a:t>
          </a:r>
          <a:endParaRPr lang="th-TH" sz="1100" baseline="0"/>
        </a:p>
        <a:p>
          <a:r>
            <a:rPr lang="th-TH" sz="1100" baseline="0">
              <a:solidFill>
                <a:schemeClr val="accent1">
                  <a:lumMod val="75000"/>
                </a:schemeClr>
              </a:solidFill>
            </a:rPr>
            <a:t>- ไม่สามารถบูรณาการกับงานอื่นได้เพราะเป็นการสอนเข้าโปรแกรมเฉพาะและกรอกข้อมูลไปแต่ละองค์ประกอบและแต่ละหน้า ซึ่งมีทั้งหมด 3 โปรแกรม และผู้เข้าร่วมประชุมต้องเอาคอมพิวเตอรืมาปฏิบัติด้วยตนเอง</a:t>
          </a:r>
          <a:endParaRPr lang="th-TH" sz="1100">
            <a:solidFill>
              <a:schemeClr val="accent1">
                <a:lumMod val="75000"/>
              </a:schemeClr>
            </a:solidFill>
          </a:endParaRPr>
        </a:p>
      </xdr:txBody>
    </xdr:sp>
    <xdr:clientData/>
  </xdr:twoCellAnchor>
  <xdr:twoCellAnchor>
    <xdr:from>
      <xdr:col>12</xdr:col>
      <xdr:colOff>9073</xdr:colOff>
      <xdr:row>46</xdr:row>
      <xdr:rowOff>0</xdr:rowOff>
    </xdr:from>
    <xdr:to>
      <xdr:col>15</xdr:col>
      <xdr:colOff>712110</xdr:colOff>
      <xdr:row>46</xdr:row>
      <xdr:rowOff>0</xdr:rowOff>
    </xdr:to>
    <xdr:sp macro="" textlink="">
      <xdr:nvSpPr>
        <xdr:cNvPr id="7" name="กล่องข้อความ 6">
          <a:extLst>
            <a:ext uri="{FF2B5EF4-FFF2-40B4-BE49-F238E27FC236}">
              <a16:creationId xmlns:a16="http://schemas.microsoft.com/office/drawing/2014/main" id="{58D7F231-594A-4F19-A6A4-23C825B47694}"/>
            </a:ext>
          </a:extLst>
        </xdr:cNvPr>
        <xdr:cNvSpPr txBox="1"/>
      </xdr:nvSpPr>
      <xdr:spPr>
        <a:xfrm>
          <a:off x="8298544" y="42414373"/>
          <a:ext cx="3952423" cy="597426"/>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กิจกรรมนี้ให้บูรณาการกับงบจังหวัด/กลุ่มจังหวัดและให้เปลี่ยนกิจกรรมใหม่ที่ไม่ซ้ำซ้อน และมุ่งเน้นแก้ไขปัญหาเด็กโลหิตจางเชิงป้องกัน</a:t>
          </a:r>
        </a:p>
      </xdr:txBody>
    </xdr:sp>
    <xdr:clientData/>
  </xdr:twoCellAnchor>
  <xdr:twoCellAnchor>
    <xdr:from>
      <xdr:col>12</xdr:col>
      <xdr:colOff>1083623</xdr:colOff>
      <xdr:row>67</xdr:row>
      <xdr:rowOff>173182</xdr:rowOff>
    </xdr:from>
    <xdr:to>
      <xdr:col>15</xdr:col>
      <xdr:colOff>29688</xdr:colOff>
      <xdr:row>67</xdr:row>
      <xdr:rowOff>910442</xdr:rowOff>
    </xdr:to>
    <xdr:sp macro="" textlink="">
      <xdr:nvSpPr>
        <xdr:cNvPr id="9" name="กล่องข้อความ 8">
          <a:extLst>
            <a:ext uri="{FF2B5EF4-FFF2-40B4-BE49-F238E27FC236}">
              <a16:creationId xmlns:a16="http://schemas.microsoft.com/office/drawing/2014/main" id="{40D97046-78C3-4FCC-B926-8AA95C635562}"/>
            </a:ext>
          </a:extLst>
        </xdr:cNvPr>
        <xdr:cNvSpPr txBox="1"/>
      </xdr:nvSpPr>
      <xdr:spPr>
        <a:xfrm>
          <a:off x="9373094" y="64545853"/>
          <a:ext cx="2195451" cy="73726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คงกิจกรรมให้บูรณาการการประชุมกลุ่ม ส่งเสริมอำเภอ /ออนไลน์</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5</xdr:col>
      <xdr:colOff>523875</xdr:colOff>
      <xdr:row>1</xdr:row>
      <xdr:rowOff>209550</xdr:rowOff>
    </xdr:from>
    <xdr:ext cx="2066926" cy="285750"/>
    <xdr:sp macro="" textlink="">
      <xdr:nvSpPr>
        <xdr:cNvPr id="2" name="TextBox 2">
          <a:extLst>
            <a:ext uri="{FF2B5EF4-FFF2-40B4-BE49-F238E27FC236}">
              <a16:creationId xmlns:a16="http://schemas.microsoft.com/office/drawing/2014/main" id="{9B0F4C87-58AF-4CE4-A454-10C97A544EC3}"/>
            </a:ext>
          </a:extLst>
        </xdr:cNvPr>
        <xdr:cNvSpPr txBox="1"/>
      </xdr:nvSpPr>
      <xdr:spPr>
        <a:xfrm>
          <a:off x="3751489" y="552450"/>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oneCellAnchor>
    <xdr:from>
      <xdr:col>15</xdr:col>
      <xdr:colOff>0</xdr:colOff>
      <xdr:row>54</xdr:row>
      <xdr:rowOff>488462</xdr:rowOff>
    </xdr:from>
    <xdr:ext cx="1770998" cy="401905"/>
    <xdr:sp macro="" textlink="">
      <xdr:nvSpPr>
        <xdr:cNvPr id="3" name="TextBox 4">
          <a:extLst>
            <a:ext uri="{FF2B5EF4-FFF2-40B4-BE49-F238E27FC236}">
              <a16:creationId xmlns:a16="http://schemas.microsoft.com/office/drawing/2014/main" id="{844E091B-C5D1-4D2E-8E6C-1E6ACB65AE8A}"/>
            </a:ext>
          </a:extLst>
        </xdr:cNvPr>
        <xdr:cNvSpPr txBox="1"/>
      </xdr:nvSpPr>
      <xdr:spPr>
        <a:xfrm>
          <a:off x="10575471" y="42774019"/>
          <a:ext cx="1770998" cy="4019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000">
              <a:solidFill>
                <a:srgbClr val="FF0000"/>
              </a:solidFill>
            </a:rPr>
            <a:t>รองบชายแดนฯ</a:t>
          </a:r>
        </a:p>
      </xdr:txBody>
    </xdr:sp>
    <xdr:clientData/>
  </xdr:oneCellAnchor>
  <xdr:twoCellAnchor>
    <xdr:from>
      <xdr:col>19</xdr:col>
      <xdr:colOff>178836</xdr:colOff>
      <xdr:row>63</xdr:row>
      <xdr:rowOff>155510</xdr:rowOff>
    </xdr:from>
    <xdr:to>
      <xdr:col>23</xdr:col>
      <xdr:colOff>124408</xdr:colOff>
      <xdr:row>63</xdr:row>
      <xdr:rowOff>559837</xdr:rowOff>
    </xdr:to>
    <xdr:sp macro="" textlink="">
      <xdr:nvSpPr>
        <xdr:cNvPr id="4" name="กล่องข้อความ 3">
          <a:extLst>
            <a:ext uri="{FF2B5EF4-FFF2-40B4-BE49-F238E27FC236}">
              <a16:creationId xmlns:a16="http://schemas.microsoft.com/office/drawing/2014/main" id="{6DDD3C16-C09C-AF8B-4919-A4AD0BB8462A}"/>
            </a:ext>
          </a:extLst>
        </xdr:cNvPr>
        <xdr:cNvSpPr txBox="1"/>
      </xdr:nvSpPr>
      <xdr:spPr>
        <a:xfrm>
          <a:off x="13117285" y="50058734"/>
          <a:ext cx="2177143" cy="40432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ตั้งงบไว้กรณีเกิดการระบาด</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523875</xdr:colOff>
      <xdr:row>1</xdr:row>
      <xdr:rowOff>209550</xdr:rowOff>
    </xdr:from>
    <xdr:ext cx="2066926" cy="285750"/>
    <xdr:sp macro="" textlink="">
      <xdr:nvSpPr>
        <xdr:cNvPr id="2" name="TextBox 2">
          <a:extLst>
            <a:ext uri="{FF2B5EF4-FFF2-40B4-BE49-F238E27FC236}">
              <a16:creationId xmlns:a16="http://schemas.microsoft.com/office/drawing/2014/main" id="{5655122D-2ACD-4819-946A-3507D27AB24E}"/>
            </a:ext>
          </a:extLst>
        </xdr:cNvPr>
        <xdr:cNvSpPr txBox="1"/>
      </xdr:nvSpPr>
      <xdr:spPr>
        <a:xfrm>
          <a:off x="2428875" y="367393"/>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oneCellAnchor>
    <xdr:from>
      <xdr:col>18</xdr:col>
      <xdr:colOff>156633</xdr:colOff>
      <xdr:row>27</xdr:row>
      <xdr:rowOff>0</xdr:rowOff>
    </xdr:from>
    <xdr:ext cx="184731" cy="262572"/>
    <xdr:sp macro="" textlink="">
      <xdr:nvSpPr>
        <xdr:cNvPr id="3" name="TextBox 2">
          <a:extLst>
            <a:ext uri="{FF2B5EF4-FFF2-40B4-BE49-F238E27FC236}">
              <a16:creationId xmlns:a16="http://schemas.microsoft.com/office/drawing/2014/main" id="{23872E18-E75E-4543-B977-90C62613BC33}"/>
            </a:ext>
          </a:extLst>
        </xdr:cNvPr>
        <xdr:cNvSpPr txBox="1"/>
      </xdr:nvSpPr>
      <xdr:spPr>
        <a:xfrm>
          <a:off x="9110133" y="13215257"/>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27</xdr:row>
      <xdr:rowOff>0</xdr:rowOff>
    </xdr:from>
    <xdr:ext cx="184731" cy="262572"/>
    <xdr:sp macro="" textlink="">
      <xdr:nvSpPr>
        <xdr:cNvPr id="4" name="TextBox 3">
          <a:extLst>
            <a:ext uri="{FF2B5EF4-FFF2-40B4-BE49-F238E27FC236}">
              <a16:creationId xmlns:a16="http://schemas.microsoft.com/office/drawing/2014/main" id="{92398B82-32E0-4EFC-BD6F-20714F80825D}"/>
            </a:ext>
          </a:extLst>
        </xdr:cNvPr>
        <xdr:cNvSpPr txBox="1"/>
      </xdr:nvSpPr>
      <xdr:spPr>
        <a:xfrm>
          <a:off x="9033933" y="13215257"/>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156633</xdr:colOff>
      <xdr:row>27</xdr:row>
      <xdr:rowOff>0</xdr:rowOff>
    </xdr:from>
    <xdr:ext cx="184731" cy="262572"/>
    <xdr:sp macro="" textlink="">
      <xdr:nvSpPr>
        <xdr:cNvPr id="5" name="TextBox 4">
          <a:extLst>
            <a:ext uri="{FF2B5EF4-FFF2-40B4-BE49-F238E27FC236}">
              <a16:creationId xmlns:a16="http://schemas.microsoft.com/office/drawing/2014/main" id="{733EC66F-6E2D-4B5B-9BFE-B6F664FBB7B1}"/>
            </a:ext>
          </a:extLst>
        </xdr:cNvPr>
        <xdr:cNvSpPr txBox="1"/>
      </xdr:nvSpPr>
      <xdr:spPr>
        <a:xfrm>
          <a:off x="9110133" y="13215257"/>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27</xdr:row>
      <xdr:rowOff>0</xdr:rowOff>
    </xdr:from>
    <xdr:ext cx="184731" cy="262572"/>
    <xdr:sp macro="" textlink="">
      <xdr:nvSpPr>
        <xdr:cNvPr id="6" name="TextBox 5">
          <a:extLst>
            <a:ext uri="{FF2B5EF4-FFF2-40B4-BE49-F238E27FC236}">
              <a16:creationId xmlns:a16="http://schemas.microsoft.com/office/drawing/2014/main" id="{BC223B3D-6F04-42B4-9913-6E82B3A52EBA}"/>
            </a:ext>
          </a:extLst>
        </xdr:cNvPr>
        <xdr:cNvSpPr txBox="1"/>
      </xdr:nvSpPr>
      <xdr:spPr>
        <a:xfrm>
          <a:off x="9033933" y="13215257"/>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156633</xdr:colOff>
      <xdr:row>37</xdr:row>
      <xdr:rowOff>0</xdr:rowOff>
    </xdr:from>
    <xdr:ext cx="184731" cy="271950"/>
    <xdr:sp macro="" textlink="">
      <xdr:nvSpPr>
        <xdr:cNvPr id="7" name="TextBox 2">
          <a:extLst>
            <a:ext uri="{FF2B5EF4-FFF2-40B4-BE49-F238E27FC236}">
              <a16:creationId xmlns:a16="http://schemas.microsoft.com/office/drawing/2014/main" id="{F375EBD4-80B7-4967-929A-0A191BD8387D}"/>
            </a:ext>
          </a:extLst>
        </xdr:cNvPr>
        <xdr:cNvSpPr txBox="1"/>
      </xdr:nvSpPr>
      <xdr:spPr>
        <a:xfrm>
          <a:off x="9110133" y="20688300"/>
          <a:ext cx="184731" cy="27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37</xdr:row>
      <xdr:rowOff>0</xdr:rowOff>
    </xdr:from>
    <xdr:ext cx="184731" cy="271950"/>
    <xdr:sp macro="" textlink="">
      <xdr:nvSpPr>
        <xdr:cNvPr id="8" name="TextBox 3">
          <a:extLst>
            <a:ext uri="{FF2B5EF4-FFF2-40B4-BE49-F238E27FC236}">
              <a16:creationId xmlns:a16="http://schemas.microsoft.com/office/drawing/2014/main" id="{B8686150-46A4-4195-A7DB-D76D440DF3F0}"/>
            </a:ext>
          </a:extLst>
        </xdr:cNvPr>
        <xdr:cNvSpPr txBox="1"/>
      </xdr:nvSpPr>
      <xdr:spPr>
        <a:xfrm>
          <a:off x="9033933" y="20688300"/>
          <a:ext cx="184731" cy="27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156633</xdr:colOff>
      <xdr:row>37</xdr:row>
      <xdr:rowOff>0</xdr:rowOff>
    </xdr:from>
    <xdr:ext cx="184731" cy="271950"/>
    <xdr:sp macro="" textlink="">
      <xdr:nvSpPr>
        <xdr:cNvPr id="9" name="TextBox 4">
          <a:extLst>
            <a:ext uri="{FF2B5EF4-FFF2-40B4-BE49-F238E27FC236}">
              <a16:creationId xmlns:a16="http://schemas.microsoft.com/office/drawing/2014/main" id="{BB140EB3-FC26-4A97-8B2A-F20F1A0EF9FE}"/>
            </a:ext>
          </a:extLst>
        </xdr:cNvPr>
        <xdr:cNvSpPr txBox="1"/>
      </xdr:nvSpPr>
      <xdr:spPr>
        <a:xfrm>
          <a:off x="9110133" y="20688300"/>
          <a:ext cx="184731" cy="27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37</xdr:row>
      <xdr:rowOff>0</xdr:rowOff>
    </xdr:from>
    <xdr:ext cx="184731" cy="271950"/>
    <xdr:sp macro="" textlink="">
      <xdr:nvSpPr>
        <xdr:cNvPr id="10" name="TextBox 5">
          <a:extLst>
            <a:ext uri="{FF2B5EF4-FFF2-40B4-BE49-F238E27FC236}">
              <a16:creationId xmlns:a16="http://schemas.microsoft.com/office/drawing/2014/main" id="{0278B75B-FFF7-4011-A292-4F31A6F29DF8}"/>
            </a:ext>
          </a:extLst>
        </xdr:cNvPr>
        <xdr:cNvSpPr txBox="1"/>
      </xdr:nvSpPr>
      <xdr:spPr>
        <a:xfrm>
          <a:off x="9033933" y="20688300"/>
          <a:ext cx="184731" cy="27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156633</xdr:colOff>
      <xdr:row>27</xdr:row>
      <xdr:rowOff>0</xdr:rowOff>
    </xdr:from>
    <xdr:ext cx="184731" cy="262572"/>
    <xdr:sp macro="" textlink="">
      <xdr:nvSpPr>
        <xdr:cNvPr id="11" name="TextBox 2">
          <a:extLst>
            <a:ext uri="{FF2B5EF4-FFF2-40B4-BE49-F238E27FC236}">
              <a16:creationId xmlns:a16="http://schemas.microsoft.com/office/drawing/2014/main" id="{08DD5FA0-B557-483C-B5F3-8D19BF4F38D1}"/>
            </a:ext>
          </a:extLst>
        </xdr:cNvPr>
        <xdr:cNvSpPr txBox="1"/>
      </xdr:nvSpPr>
      <xdr:spPr>
        <a:xfrm>
          <a:off x="9110133" y="13215257"/>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27</xdr:row>
      <xdr:rowOff>0</xdr:rowOff>
    </xdr:from>
    <xdr:ext cx="184731" cy="262572"/>
    <xdr:sp macro="" textlink="">
      <xdr:nvSpPr>
        <xdr:cNvPr id="12" name="TextBox 3">
          <a:extLst>
            <a:ext uri="{FF2B5EF4-FFF2-40B4-BE49-F238E27FC236}">
              <a16:creationId xmlns:a16="http://schemas.microsoft.com/office/drawing/2014/main" id="{4BFC5B63-CFF9-4FAB-8E1A-FE307265401D}"/>
            </a:ext>
          </a:extLst>
        </xdr:cNvPr>
        <xdr:cNvSpPr txBox="1"/>
      </xdr:nvSpPr>
      <xdr:spPr>
        <a:xfrm>
          <a:off x="9033933" y="13215257"/>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156633</xdr:colOff>
      <xdr:row>27</xdr:row>
      <xdr:rowOff>0</xdr:rowOff>
    </xdr:from>
    <xdr:ext cx="184731" cy="262572"/>
    <xdr:sp macro="" textlink="">
      <xdr:nvSpPr>
        <xdr:cNvPr id="13" name="TextBox 4">
          <a:extLst>
            <a:ext uri="{FF2B5EF4-FFF2-40B4-BE49-F238E27FC236}">
              <a16:creationId xmlns:a16="http://schemas.microsoft.com/office/drawing/2014/main" id="{FF6A8580-51C4-4237-A2D5-8341084D79FB}"/>
            </a:ext>
          </a:extLst>
        </xdr:cNvPr>
        <xdr:cNvSpPr txBox="1"/>
      </xdr:nvSpPr>
      <xdr:spPr>
        <a:xfrm>
          <a:off x="9110133" y="13215257"/>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27</xdr:row>
      <xdr:rowOff>0</xdr:rowOff>
    </xdr:from>
    <xdr:ext cx="184731" cy="262572"/>
    <xdr:sp macro="" textlink="">
      <xdr:nvSpPr>
        <xdr:cNvPr id="14" name="TextBox 5">
          <a:extLst>
            <a:ext uri="{FF2B5EF4-FFF2-40B4-BE49-F238E27FC236}">
              <a16:creationId xmlns:a16="http://schemas.microsoft.com/office/drawing/2014/main" id="{A34EFF15-3721-4392-9318-A2D45C33D930}"/>
            </a:ext>
          </a:extLst>
        </xdr:cNvPr>
        <xdr:cNvSpPr txBox="1"/>
      </xdr:nvSpPr>
      <xdr:spPr>
        <a:xfrm>
          <a:off x="9033933" y="13215257"/>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156633</xdr:colOff>
      <xdr:row>28</xdr:row>
      <xdr:rowOff>0</xdr:rowOff>
    </xdr:from>
    <xdr:ext cx="184731" cy="262572"/>
    <xdr:sp macro="" textlink="">
      <xdr:nvSpPr>
        <xdr:cNvPr id="15" name="TextBox 6">
          <a:extLst>
            <a:ext uri="{FF2B5EF4-FFF2-40B4-BE49-F238E27FC236}">
              <a16:creationId xmlns:a16="http://schemas.microsoft.com/office/drawing/2014/main" id="{0848B1BC-1106-4F0F-A053-BEBD891CC62C}"/>
            </a:ext>
          </a:extLst>
        </xdr:cNvPr>
        <xdr:cNvSpPr txBox="1"/>
      </xdr:nvSpPr>
      <xdr:spPr>
        <a:xfrm>
          <a:off x="9110133" y="13846629"/>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28</xdr:row>
      <xdr:rowOff>0</xdr:rowOff>
    </xdr:from>
    <xdr:ext cx="184731" cy="262572"/>
    <xdr:sp macro="" textlink="">
      <xdr:nvSpPr>
        <xdr:cNvPr id="16" name="TextBox 7">
          <a:extLst>
            <a:ext uri="{FF2B5EF4-FFF2-40B4-BE49-F238E27FC236}">
              <a16:creationId xmlns:a16="http://schemas.microsoft.com/office/drawing/2014/main" id="{986C0ABD-DE55-492D-9B26-B83DFECABC4B}"/>
            </a:ext>
          </a:extLst>
        </xdr:cNvPr>
        <xdr:cNvSpPr txBox="1"/>
      </xdr:nvSpPr>
      <xdr:spPr>
        <a:xfrm>
          <a:off x="9033933" y="13846629"/>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156633</xdr:colOff>
      <xdr:row>28</xdr:row>
      <xdr:rowOff>0</xdr:rowOff>
    </xdr:from>
    <xdr:ext cx="184731" cy="262572"/>
    <xdr:sp macro="" textlink="">
      <xdr:nvSpPr>
        <xdr:cNvPr id="17" name="TextBox 8">
          <a:extLst>
            <a:ext uri="{FF2B5EF4-FFF2-40B4-BE49-F238E27FC236}">
              <a16:creationId xmlns:a16="http://schemas.microsoft.com/office/drawing/2014/main" id="{C5F92DA8-C5BE-42A7-A6A9-7D8019B43ECF}"/>
            </a:ext>
          </a:extLst>
        </xdr:cNvPr>
        <xdr:cNvSpPr txBox="1"/>
      </xdr:nvSpPr>
      <xdr:spPr>
        <a:xfrm>
          <a:off x="9110133" y="13846629"/>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28</xdr:row>
      <xdr:rowOff>0</xdr:rowOff>
    </xdr:from>
    <xdr:ext cx="184731" cy="262572"/>
    <xdr:sp macro="" textlink="">
      <xdr:nvSpPr>
        <xdr:cNvPr id="18" name="TextBox 9">
          <a:extLst>
            <a:ext uri="{FF2B5EF4-FFF2-40B4-BE49-F238E27FC236}">
              <a16:creationId xmlns:a16="http://schemas.microsoft.com/office/drawing/2014/main" id="{F5D55D52-8416-403B-AA10-1E19DDDA8006}"/>
            </a:ext>
          </a:extLst>
        </xdr:cNvPr>
        <xdr:cNvSpPr txBox="1"/>
      </xdr:nvSpPr>
      <xdr:spPr>
        <a:xfrm>
          <a:off x="9033933" y="13846629"/>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156633</xdr:colOff>
      <xdr:row>28</xdr:row>
      <xdr:rowOff>0</xdr:rowOff>
    </xdr:from>
    <xdr:ext cx="184731" cy="262572"/>
    <xdr:sp macro="" textlink="">
      <xdr:nvSpPr>
        <xdr:cNvPr id="19" name="TextBox 3">
          <a:extLst>
            <a:ext uri="{FF2B5EF4-FFF2-40B4-BE49-F238E27FC236}">
              <a16:creationId xmlns:a16="http://schemas.microsoft.com/office/drawing/2014/main" id="{1DA5F281-D22C-4CA7-A198-0ADF8DCCE9C9}"/>
            </a:ext>
          </a:extLst>
        </xdr:cNvPr>
        <xdr:cNvSpPr txBox="1"/>
      </xdr:nvSpPr>
      <xdr:spPr>
        <a:xfrm>
          <a:off x="9110133" y="13846629"/>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28</xdr:row>
      <xdr:rowOff>0</xdr:rowOff>
    </xdr:from>
    <xdr:ext cx="184731" cy="262572"/>
    <xdr:sp macro="" textlink="">
      <xdr:nvSpPr>
        <xdr:cNvPr id="20" name="TextBox 4">
          <a:extLst>
            <a:ext uri="{FF2B5EF4-FFF2-40B4-BE49-F238E27FC236}">
              <a16:creationId xmlns:a16="http://schemas.microsoft.com/office/drawing/2014/main" id="{F8BD2C64-848A-44B6-ABE2-73C0F2C4CE3A}"/>
            </a:ext>
          </a:extLst>
        </xdr:cNvPr>
        <xdr:cNvSpPr txBox="1"/>
      </xdr:nvSpPr>
      <xdr:spPr>
        <a:xfrm>
          <a:off x="9033933" y="13846629"/>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156633</xdr:colOff>
      <xdr:row>28</xdr:row>
      <xdr:rowOff>0</xdr:rowOff>
    </xdr:from>
    <xdr:ext cx="184731" cy="262572"/>
    <xdr:sp macro="" textlink="">
      <xdr:nvSpPr>
        <xdr:cNvPr id="21" name="TextBox 5">
          <a:extLst>
            <a:ext uri="{FF2B5EF4-FFF2-40B4-BE49-F238E27FC236}">
              <a16:creationId xmlns:a16="http://schemas.microsoft.com/office/drawing/2014/main" id="{59697B98-5606-4C15-9951-39535344C6CC}"/>
            </a:ext>
          </a:extLst>
        </xdr:cNvPr>
        <xdr:cNvSpPr txBox="1"/>
      </xdr:nvSpPr>
      <xdr:spPr>
        <a:xfrm>
          <a:off x="9110133" y="13846629"/>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28</xdr:row>
      <xdr:rowOff>0</xdr:rowOff>
    </xdr:from>
    <xdr:ext cx="184731" cy="262572"/>
    <xdr:sp macro="" textlink="">
      <xdr:nvSpPr>
        <xdr:cNvPr id="22" name="TextBox 6">
          <a:extLst>
            <a:ext uri="{FF2B5EF4-FFF2-40B4-BE49-F238E27FC236}">
              <a16:creationId xmlns:a16="http://schemas.microsoft.com/office/drawing/2014/main" id="{4AEB627D-A6C8-4672-93FF-6BB848E2BBE5}"/>
            </a:ext>
          </a:extLst>
        </xdr:cNvPr>
        <xdr:cNvSpPr txBox="1"/>
      </xdr:nvSpPr>
      <xdr:spPr>
        <a:xfrm>
          <a:off x="9033933" y="13846629"/>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156633</xdr:colOff>
      <xdr:row>30</xdr:row>
      <xdr:rowOff>0</xdr:rowOff>
    </xdr:from>
    <xdr:ext cx="184731" cy="262572"/>
    <xdr:sp macro="" textlink="">
      <xdr:nvSpPr>
        <xdr:cNvPr id="23" name="TextBox 14">
          <a:extLst>
            <a:ext uri="{FF2B5EF4-FFF2-40B4-BE49-F238E27FC236}">
              <a16:creationId xmlns:a16="http://schemas.microsoft.com/office/drawing/2014/main" id="{CA39F6F2-DC57-4B8E-BEE0-2CB244595FBB}"/>
            </a:ext>
          </a:extLst>
        </xdr:cNvPr>
        <xdr:cNvSpPr txBox="1"/>
      </xdr:nvSpPr>
      <xdr:spPr>
        <a:xfrm>
          <a:off x="9110133" y="15767957"/>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30</xdr:row>
      <xdr:rowOff>0</xdr:rowOff>
    </xdr:from>
    <xdr:ext cx="184731" cy="262572"/>
    <xdr:sp macro="" textlink="">
      <xdr:nvSpPr>
        <xdr:cNvPr id="24" name="TextBox 15">
          <a:extLst>
            <a:ext uri="{FF2B5EF4-FFF2-40B4-BE49-F238E27FC236}">
              <a16:creationId xmlns:a16="http://schemas.microsoft.com/office/drawing/2014/main" id="{03CB76A6-7C1F-444C-A5B4-3827275BED23}"/>
            </a:ext>
          </a:extLst>
        </xdr:cNvPr>
        <xdr:cNvSpPr txBox="1"/>
      </xdr:nvSpPr>
      <xdr:spPr>
        <a:xfrm>
          <a:off x="9033933" y="15767957"/>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156633</xdr:colOff>
      <xdr:row>30</xdr:row>
      <xdr:rowOff>0</xdr:rowOff>
    </xdr:from>
    <xdr:ext cx="184731" cy="262572"/>
    <xdr:sp macro="" textlink="">
      <xdr:nvSpPr>
        <xdr:cNvPr id="25" name="TextBox 16">
          <a:extLst>
            <a:ext uri="{FF2B5EF4-FFF2-40B4-BE49-F238E27FC236}">
              <a16:creationId xmlns:a16="http://schemas.microsoft.com/office/drawing/2014/main" id="{8DA8E4EE-F488-4399-83A9-BD5FD87E0990}"/>
            </a:ext>
          </a:extLst>
        </xdr:cNvPr>
        <xdr:cNvSpPr txBox="1"/>
      </xdr:nvSpPr>
      <xdr:spPr>
        <a:xfrm>
          <a:off x="9110133" y="15767957"/>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30</xdr:row>
      <xdr:rowOff>0</xdr:rowOff>
    </xdr:from>
    <xdr:ext cx="184731" cy="262572"/>
    <xdr:sp macro="" textlink="">
      <xdr:nvSpPr>
        <xdr:cNvPr id="26" name="TextBox 17">
          <a:extLst>
            <a:ext uri="{FF2B5EF4-FFF2-40B4-BE49-F238E27FC236}">
              <a16:creationId xmlns:a16="http://schemas.microsoft.com/office/drawing/2014/main" id="{5F6EE516-71B2-42FE-ADA8-9AD886704C9E}"/>
            </a:ext>
          </a:extLst>
        </xdr:cNvPr>
        <xdr:cNvSpPr txBox="1"/>
      </xdr:nvSpPr>
      <xdr:spPr>
        <a:xfrm>
          <a:off x="9033933" y="15767957"/>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156633</xdr:colOff>
      <xdr:row>37</xdr:row>
      <xdr:rowOff>0</xdr:rowOff>
    </xdr:from>
    <xdr:ext cx="184731" cy="271950"/>
    <xdr:sp macro="" textlink="">
      <xdr:nvSpPr>
        <xdr:cNvPr id="27" name="TextBox 2">
          <a:extLst>
            <a:ext uri="{FF2B5EF4-FFF2-40B4-BE49-F238E27FC236}">
              <a16:creationId xmlns:a16="http://schemas.microsoft.com/office/drawing/2014/main" id="{8D3A36B6-CC07-4A06-9AF7-684DF3128968}"/>
            </a:ext>
          </a:extLst>
        </xdr:cNvPr>
        <xdr:cNvSpPr txBox="1"/>
      </xdr:nvSpPr>
      <xdr:spPr>
        <a:xfrm>
          <a:off x="9110133" y="20688300"/>
          <a:ext cx="184731" cy="27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37</xdr:row>
      <xdr:rowOff>0</xdr:rowOff>
    </xdr:from>
    <xdr:ext cx="184731" cy="271950"/>
    <xdr:sp macro="" textlink="">
      <xdr:nvSpPr>
        <xdr:cNvPr id="28" name="TextBox 3">
          <a:extLst>
            <a:ext uri="{FF2B5EF4-FFF2-40B4-BE49-F238E27FC236}">
              <a16:creationId xmlns:a16="http://schemas.microsoft.com/office/drawing/2014/main" id="{0A1493E1-F882-4BB2-AEE1-D4EA54B56099}"/>
            </a:ext>
          </a:extLst>
        </xdr:cNvPr>
        <xdr:cNvSpPr txBox="1"/>
      </xdr:nvSpPr>
      <xdr:spPr>
        <a:xfrm>
          <a:off x="9033933" y="20688300"/>
          <a:ext cx="184731" cy="27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37</xdr:row>
      <xdr:rowOff>0</xdr:rowOff>
    </xdr:from>
    <xdr:ext cx="184731" cy="271950"/>
    <xdr:sp macro="" textlink="">
      <xdr:nvSpPr>
        <xdr:cNvPr id="29" name="TextBox 5">
          <a:extLst>
            <a:ext uri="{FF2B5EF4-FFF2-40B4-BE49-F238E27FC236}">
              <a16:creationId xmlns:a16="http://schemas.microsoft.com/office/drawing/2014/main" id="{C9986D2B-4C0F-4BAD-B601-BFCD9F70F9EC}"/>
            </a:ext>
          </a:extLst>
        </xdr:cNvPr>
        <xdr:cNvSpPr txBox="1"/>
      </xdr:nvSpPr>
      <xdr:spPr>
        <a:xfrm>
          <a:off x="9033933" y="20688300"/>
          <a:ext cx="184731" cy="27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twoCellAnchor>
    <xdr:from>
      <xdr:col>4</xdr:col>
      <xdr:colOff>1177330</xdr:colOff>
      <xdr:row>13</xdr:row>
      <xdr:rowOff>29308</xdr:rowOff>
    </xdr:from>
    <xdr:to>
      <xdr:col>6</xdr:col>
      <xdr:colOff>193429</xdr:colOff>
      <xdr:row>13</xdr:row>
      <xdr:rowOff>485672</xdr:rowOff>
    </xdr:to>
    <xdr:sp macro="" textlink="">
      <xdr:nvSpPr>
        <xdr:cNvPr id="30" name="กล่องข้อความ 29">
          <a:extLst>
            <a:ext uri="{FF2B5EF4-FFF2-40B4-BE49-F238E27FC236}">
              <a16:creationId xmlns:a16="http://schemas.microsoft.com/office/drawing/2014/main" id="{4B5E6B64-AEB4-4709-8CBB-8F0A6C806BB7}"/>
            </a:ext>
          </a:extLst>
        </xdr:cNvPr>
        <xdr:cNvSpPr txBox="1"/>
      </xdr:nvSpPr>
      <xdr:spPr>
        <a:xfrm>
          <a:off x="1514787" y="5379637"/>
          <a:ext cx="2189285" cy="45636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ลด</a:t>
          </a:r>
          <a:r>
            <a:rPr lang="th-TH" sz="1100" baseline="0"/>
            <a:t> ชม.วิทยากร เหลือ </a:t>
          </a:r>
          <a:r>
            <a:rPr lang="en-US" sz="1100" baseline="0"/>
            <a:t>6 </a:t>
          </a:r>
          <a:r>
            <a:rPr lang="th-TH" sz="1100" baseline="0"/>
            <a:t>ชม</a:t>
          </a:r>
          <a:r>
            <a:rPr lang="en-US" sz="1100" baseline="0"/>
            <a:t> </a:t>
          </a:r>
          <a:r>
            <a:rPr lang="th-TH" sz="1100" baseline="0"/>
            <a:t>ตัดค่าวัสดุ</a:t>
          </a:r>
          <a:endParaRPr lang="th-TH" sz="1100"/>
        </a:p>
      </xdr:txBody>
    </xdr:sp>
    <xdr:clientData/>
  </xdr:twoCellAnchor>
  <xdr:twoCellAnchor>
    <xdr:from>
      <xdr:col>5</xdr:col>
      <xdr:colOff>298938</xdr:colOff>
      <xdr:row>19</xdr:row>
      <xdr:rowOff>269630</xdr:rowOff>
    </xdr:from>
    <xdr:to>
      <xdr:col>6</xdr:col>
      <xdr:colOff>231949</xdr:colOff>
      <xdr:row>20</xdr:row>
      <xdr:rowOff>169148</xdr:rowOff>
    </xdr:to>
    <xdr:sp macro="" textlink="">
      <xdr:nvSpPr>
        <xdr:cNvPr id="31" name="กล่องข้อความ 30">
          <a:extLst>
            <a:ext uri="{FF2B5EF4-FFF2-40B4-BE49-F238E27FC236}">
              <a16:creationId xmlns:a16="http://schemas.microsoft.com/office/drawing/2014/main" id="{876B41D3-CE49-438D-8C4D-2492F187D5A7}"/>
            </a:ext>
          </a:extLst>
        </xdr:cNvPr>
        <xdr:cNvSpPr txBox="1"/>
      </xdr:nvSpPr>
      <xdr:spPr>
        <a:xfrm>
          <a:off x="2203938" y="8804030"/>
          <a:ext cx="1538654" cy="46013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ตัดค่าวิทยากร</a:t>
          </a:r>
        </a:p>
      </xdr:txBody>
    </xdr:sp>
    <xdr:clientData/>
  </xdr:twoCellAnchor>
  <xdr:twoCellAnchor>
    <xdr:from>
      <xdr:col>4</xdr:col>
      <xdr:colOff>46892</xdr:colOff>
      <xdr:row>25</xdr:row>
      <xdr:rowOff>87839</xdr:rowOff>
    </xdr:from>
    <xdr:to>
      <xdr:col>5</xdr:col>
      <xdr:colOff>15073</xdr:colOff>
      <xdr:row>26</xdr:row>
      <xdr:rowOff>476458</xdr:rowOff>
    </xdr:to>
    <xdr:sp macro="" textlink="">
      <xdr:nvSpPr>
        <xdr:cNvPr id="32" name="กล่องข้อความ 31">
          <a:extLst>
            <a:ext uri="{FF2B5EF4-FFF2-40B4-BE49-F238E27FC236}">
              <a16:creationId xmlns:a16="http://schemas.microsoft.com/office/drawing/2014/main" id="{7BA3135A-4801-4C89-9E97-FEED5C4C4AAC}"/>
            </a:ext>
          </a:extLst>
        </xdr:cNvPr>
        <xdr:cNvSpPr txBox="1"/>
      </xdr:nvSpPr>
      <xdr:spPr>
        <a:xfrm>
          <a:off x="384349" y="12241739"/>
          <a:ext cx="1535724" cy="911133"/>
        </a:xfrm>
        <a:prstGeom prst="rect">
          <a:avLst/>
        </a:prstGeom>
        <a:solidFill>
          <a:srgbClr val="ED7D31"/>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h-TH"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ปรับค่าใบประกาศ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20 </a:t>
          </a:r>
          <a:r>
            <a:rPr kumimoji="0" lang="th-TH"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บาท และตัดค่าถ่ายเอกสาร</a:t>
          </a:r>
        </a:p>
      </xdr:txBody>
    </xdr:sp>
    <xdr:clientData/>
  </xdr:twoCellAnchor>
  <xdr:twoCellAnchor>
    <xdr:from>
      <xdr:col>4</xdr:col>
      <xdr:colOff>474784</xdr:colOff>
      <xdr:row>35</xdr:row>
      <xdr:rowOff>41868</xdr:rowOff>
    </xdr:from>
    <xdr:to>
      <xdr:col>5</xdr:col>
      <xdr:colOff>442965</xdr:colOff>
      <xdr:row>35</xdr:row>
      <xdr:rowOff>503256</xdr:rowOff>
    </xdr:to>
    <xdr:sp macro="" textlink="">
      <xdr:nvSpPr>
        <xdr:cNvPr id="33" name="กล่องข้อความ 32">
          <a:extLst>
            <a:ext uri="{FF2B5EF4-FFF2-40B4-BE49-F238E27FC236}">
              <a16:creationId xmlns:a16="http://schemas.microsoft.com/office/drawing/2014/main" id="{516E6818-9039-4E95-8BDD-57D9FD8BC209}"/>
            </a:ext>
          </a:extLst>
        </xdr:cNvPr>
        <xdr:cNvSpPr txBox="1"/>
      </xdr:nvSpPr>
      <xdr:spPr>
        <a:xfrm>
          <a:off x="812241" y="20191325"/>
          <a:ext cx="1535724" cy="461388"/>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a:t>
          </a:r>
          <a:r>
            <a:rPr lang="en-US" sz="1100" baseline="0"/>
            <a:t> </a:t>
          </a:r>
          <a:r>
            <a:rPr lang="th-TH" sz="1100" baseline="0"/>
            <a:t>ค่าอะไร</a:t>
          </a:r>
          <a:endParaRPr lang="th-TH" sz="1100"/>
        </a:p>
      </xdr:txBody>
    </xdr:sp>
    <xdr:clientData/>
  </xdr:twoCellAnchor>
  <xdr:twoCellAnchor>
    <xdr:from>
      <xdr:col>11</xdr:col>
      <xdr:colOff>64478</xdr:colOff>
      <xdr:row>43</xdr:row>
      <xdr:rowOff>1231762</xdr:rowOff>
    </xdr:from>
    <xdr:to>
      <xdr:col>12</xdr:col>
      <xdr:colOff>355880</xdr:colOff>
      <xdr:row>43</xdr:row>
      <xdr:rowOff>1688126</xdr:rowOff>
    </xdr:to>
    <xdr:sp macro="" textlink="">
      <xdr:nvSpPr>
        <xdr:cNvPr id="34" name="กล่องข้อความ 33">
          <a:extLst>
            <a:ext uri="{FF2B5EF4-FFF2-40B4-BE49-F238E27FC236}">
              <a16:creationId xmlns:a16="http://schemas.microsoft.com/office/drawing/2014/main" id="{52764F97-86A0-4570-A84A-B26566CC837E}"/>
            </a:ext>
          </a:extLst>
        </xdr:cNvPr>
        <xdr:cNvSpPr txBox="1"/>
      </xdr:nvSpPr>
      <xdr:spPr>
        <a:xfrm>
          <a:off x="4533064" y="26883948"/>
          <a:ext cx="1543259" cy="45636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ค่าที่พักอัตรา </a:t>
          </a:r>
          <a:r>
            <a:rPr lang="en-US" sz="1100"/>
            <a:t>1500</a:t>
          </a:r>
          <a:endParaRPr lang="th-TH" sz="1100"/>
        </a:p>
      </xdr:txBody>
    </xdr:sp>
    <xdr:clientData/>
  </xdr:twoCellAnchor>
  <xdr:twoCellAnchor>
    <xdr:from>
      <xdr:col>13</xdr:col>
      <xdr:colOff>0</xdr:colOff>
      <xdr:row>15</xdr:row>
      <xdr:rowOff>862484</xdr:rowOff>
    </xdr:from>
    <xdr:to>
      <xdr:col>15</xdr:col>
      <xdr:colOff>401934</xdr:colOff>
      <xdr:row>15</xdr:row>
      <xdr:rowOff>1318848</xdr:rowOff>
    </xdr:to>
    <xdr:sp macro="" textlink="">
      <xdr:nvSpPr>
        <xdr:cNvPr id="35" name="กล่องข้อความ 34">
          <a:extLst>
            <a:ext uri="{FF2B5EF4-FFF2-40B4-BE49-F238E27FC236}">
              <a16:creationId xmlns:a16="http://schemas.microsoft.com/office/drawing/2014/main" id="{70A752EA-7F78-4C93-99EF-FDE4FB253B75}"/>
            </a:ext>
          </a:extLst>
        </xdr:cNvPr>
        <xdr:cNvSpPr txBox="1"/>
      </xdr:nvSpPr>
      <xdr:spPr>
        <a:xfrm>
          <a:off x="6291943" y="6724441"/>
          <a:ext cx="1615691" cy="363836"/>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ลดเหลือ </a:t>
          </a:r>
          <a:r>
            <a:rPr lang="en-US" sz="1100"/>
            <a:t>2 </a:t>
          </a:r>
          <a:r>
            <a:rPr lang="th-TH" sz="1100"/>
            <a:t>ครั้ง</a:t>
          </a:r>
        </a:p>
      </xdr:txBody>
    </xdr:sp>
    <xdr:clientData/>
  </xdr:twoCellAnchor>
  <xdr:twoCellAnchor>
    <xdr:from>
      <xdr:col>5</xdr:col>
      <xdr:colOff>586153</xdr:colOff>
      <xdr:row>25</xdr:row>
      <xdr:rowOff>99646</xdr:rowOff>
    </xdr:from>
    <xdr:to>
      <xdr:col>6</xdr:col>
      <xdr:colOff>519164</xdr:colOff>
      <xdr:row>26</xdr:row>
      <xdr:rowOff>488265</xdr:rowOff>
    </xdr:to>
    <xdr:sp macro="" textlink="">
      <xdr:nvSpPr>
        <xdr:cNvPr id="36" name="กล่องข้อความ 35">
          <a:extLst>
            <a:ext uri="{FF2B5EF4-FFF2-40B4-BE49-F238E27FC236}">
              <a16:creationId xmlns:a16="http://schemas.microsoft.com/office/drawing/2014/main" id="{45E67BA5-6D39-4EAE-94E5-F9A7E3FA2C41}"/>
            </a:ext>
          </a:extLst>
        </xdr:cNvPr>
        <xdr:cNvSpPr txBox="1"/>
      </xdr:nvSpPr>
      <xdr:spPr>
        <a:xfrm>
          <a:off x="2491153" y="12253546"/>
          <a:ext cx="1538654" cy="911133"/>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h-TH"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เนื่องจากโครงการอนุมัติแล้ว เป็น</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24</a:t>
          </a:r>
          <a:r>
            <a:rPr kumimoji="0" lang="th-TH"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ชุดๆละ</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120</a:t>
          </a:r>
          <a:r>
            <a:rPr kumimoji="0" lang="th-TH"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บาท</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 </a:t>
          </a:r>
          <a:r>
            <a:rPr kumimoji="0" lang="th-TH"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จึงขอปรับให้ตรงกัน</a:t>
          </a:r>
        </a:p>
      </xdr:txBody>
    </xdr:sp>
    <xdr:clientData/>
  </xdr:twoCellAnchor>
  <xdr:twoCellAnchor>
    <xdr:from>
      <xdr:col>12</xdr:col>
      <xdr:colOff>64476</xdr:colOff>
      <xdr:row>30</xdr:row>
      <xdr:rowOff>592018</xdr:rowOff>
    </xdr:from>
    <xdr:to>
      <xdr:col>14</xdr:col>
      <xdr:colOff>407796</xdr:colOff>
      <xdr:row>30</xdr:row>
      <xdr:rowOff>1315358</xdr:rowOff>
    </xdr:to>
    <xdr:sp macro="" textlink="">
      <xdr:nvSpPr>
        <xdr:cNvPr id="37" name="กล่องข้อความ 36">
          <a:extLst>
            <a:ext uri="{FF2B5EF4-FFF2-40B4-BE49-F238E27FC236}">
              <a16:creationId xmlns:a16="http://schemas.microsoft.com/office/drawing/2014/main" id="{2BAE1D90-FAA5-4C23-B5F9-E0B45F81AC50}"/>
            </a:ext>
          </a:extLst>
        </xdr:cNvPr>
        <xdr:cNvSpPr txBox="1"/>
      </xdr:nvSpPr>
      <xdr:spPr>
        <a:xfrm>
          <a:off x="8392048" y="18000090"/>
          <a:ext cx="1640533" cy="72334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h-TH"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เนื่องจากโครงการอนุมัติแล้ว เป็น</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234</a:t>
          </a:r>
          <a:r>
            <a:rPr kumimoji="0" lang="th-TH"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ชุดๆละ</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20</a:t>
          </a:r>
          <a:r>
            <a:rPr kumimoji="0" lang="th-TH"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บาท</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 </a:t>
          </a:r>
          <a:r>
            <a:rPr kumimoji="0" lang="th-TH"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จึงขอปรับให้ตรงกัน</a:t>
          </a:r>
        </a:p>
      </xdr:txBody>
    </xdr:sp>
    <xdr:clientData/>
  </xdr:twoCellAnchor>
  <xdr:oneCellAnchor>
    <xdr:from>
      <xdr:col>5</xdr:col>
      <xdr:colOff>751741</xdr:colOff>
      <xdr:row>44</xdr:row>
      <xdr:rowOff>326780</xdr:rowOff>
    </xdr:from>
    <xdr:ext cx="1736481" cy="600808"/>
    <xdr:sp macro="" textlink="">
      <xdr:nvSpPr>
        <xdr:cNvPr id="38" name="กล่องข้อความ 37">
          <a:extLst>
            <a:ext uri="{FF2B5EF4-FFF2-40B4-BE49-F238E27FC236}">
              <a16:creationId xmlns:a16="http://schemas.microsoft.com/office/drawing/2014/main" id="{3E0BFF70-7432-4515-A792-553633C1AAAE}"/>
            </a:ext>
          </a:extLst>
        </xdr:cNvPr>
        <xdr:cNvSpPr txBox="1"/>
      </xdr:nvSpPr>
      <xdr:spPr>
        <a:xfrm>
          <a:off x="2656741" y="27747894"/>
          <a:ext cx="1736481" cy="60080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h-TH" sz="1100"/>
            <a:t>น้ำมันเชื้อเพลิง</a:t>
          </a:r>
          <a:r>
            <a:rPr lang="th-TH" sz="1100" baseline="0"/>
            <a:t> ไป-กลับ กทม. ใช้จริง เมื่อ ปลายปีงบ 65 </a:t>
          </a:r>
          <a:endParaRPr lang="th-TH" sz="1100"/>
        </a:p>
      </xdr:txBody>
    </xdr:sp>
    <xdr:clientData/>
  </xdr:oneCellAnchor>
  <xdr:twoCellAnchor>
    <xdr:from>
      <xdr:col>5</xdr:col>
      <xdr:colOff>504092</xdr:colOff>
      <xdr:row>48</xdr:row>
      <xdr:rowOff>317989</xdr:rowOff>
    </xdr:from>
    <xdr:to>
      <xdr:col>6</xdr:col>
      <xdr:colOff>845526</xdr:colOff>
      <xdr:row>49</xdr:row>
      <xdr:rowOff>296008</xdr:rowOff>
    </xdr:to>
    <xdr:sp macro="" textlink="">
      <xdr:nvSpPr>
        <xdr:cNvPr id="39" name="กล่องข้อความ 38">
          <a:extLst>
            <a:ext uri="{FF2B5EF4-FFF2-40B4-BE49-F238E27FC236}">
              <a16:creationId xmlns:a16="http://schemas.microsoft.com/office/drawing/2014/main" id="{2CA9E473-5256-4150-AA45-67D2286828B7}"/>
            </a:ext>
          </a:extLst>
        </xdr:cNvPr>
        <xdr:cNvSpPr txBox="1"/>
      </xdr:nvSpPr>
      <xdr:spPr>
        <a:xfrm>
          <a:off x="2409092" y="30215603"/>
          <a:ext cx="1947077" cy="5005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น้ำมันเชื้อเพลิง</a:t>
          </a:r>
          <a:r>
            <a:rPr lang="th-TH" sz="1100" baseline="0"/>
            <a:t> ไป-กลับ ใช้จริงปีงบประมาณ 2565</a:t>
          </a:r>
          <a:endParaRPr lang="th-TH" sz="1100"/>
        </a:p>
      </xdr:txBody>
    </xdr:sp>
    <xdr:clientData/>
  </xdr:twoCellAnchor>
  <xdr:oneCellAnchor>
    <xdr:from>
      <xdr:col>18</xdr:col>
      <xdr:colOff>156633</xdr:colOff>
      <xdr:row>37</xdr:row>
      <xdr:rowOff>0</xdr:rowOff>
    </xdr:from>
    <xdr:ext cx="184731" cy="271950"/>
    <xdr:sp macro="" textlink="">
      <xdr:nvSpPr>
        <xdr:cNvPr id="40" name="TextBox 2">
          <a:extLst>
            <a:ext uri="{FF2B5EF4-FFF2-40B4-BE49-F238E27FC236}">
              <a16:creationId xmlns:a16="http://schemas.microsoft.com/office/drawing/2014/main" id="{1D1624D7-3AD4-4BF8-8C5D-BBAC72772996}"/>
            </a:ext>
          </a:extLst>
        </xdr:cNvPr>
        <xdr:cNvSpPr txBox="1"/>
      </xdr:nvSpPr>
      <xdr:spPr>
        <a:xfrm>
          <a:off x="9110133" y="20688300"/>
          <a:ext cx="184731" cy="27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37</xdr:row>
      <xdr:rowOff>0</xdr:rowOff>
    </xdr:from>
    <xdr:ext cx="184731" cy="271950"/>
    <xdr:sp macro="" textlink="">
      <xdr:nvSpPr>
        <xdr:cNvPr id="41" name="TextBox 3">
          <a:extLst>
            <a:ext uri="{FF2B5EF4-FFF2-40B4-BE49-F238E27FC236}">
              <a16:creationId xmlns:a16="http://schemas.microsoft.com/office/drawing/2014/main" id="{B30F8303-0E85-477C-B5E1-7CC4C96BE02D}"/>
            </a:ext>
          </a:extLst>
        </xdr:cNvPr>
        <xdr:cNvSpPr txBox="1"/>
      </xdr:nvSpPr>
      <xdr:spPr>
        <a:xfrm>
          <a:off x="9033933" y="20688300"/>
          <a:ext cx="184731" cy="27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156633</xdr:colOff>
      <xdr:row>37</xdr:row>
      <xdr:rowOff>0</xdr:rowOff>
    </xdr:from>
    <xdr:ext cx="184731" cy="271950"/>
    <xdr:sp macro="" textlink="">
      <xdr:nvSpPr>
        <xdr:cNvPr id="42" name="TextBox 4">
          <a:extLst>
            <a:ext uri="{FF2B5EF4-FFF2-40B4-BE49-F238E27FC236}">
              <a16:creationId xmlns:a16="http://schemas.microsoft.com/office/drawing/2014/main" id="{FD433948-1EC7-47C1-806D-5D78F7A22A12}"/>
            </a:ext>
          </a:extLst>
        </xdr:cNvPr>
        <xdr:cNvSpPr txBox="1"/>
      </xdr:nvSpPr>
      <xdr:spPr>
        <a:xfrm>
          <a:off x="9110133" y="20688300"/>
          <a:ext cx="184731" cy="27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37</xdr:row>
      <xdr:rowOff>0</xdr:rowOff>
    </xdr:from>
    <xdr:ext cx="184731" cy="271950"/>
    <xdr:sp macro="" textlink="">
      <xdr:nvSpPr>
        <xdr:cNvPr id="43" name="TextBox 5">
          <a:extLst>
            <a:ext uri="{FF2B5EF4-FFF2-40B4-BE49-F238E27FC236}">
              <a16:creationId xmlns:a16="http://schemas.microsoft.com/office/drawing/2014/main" id="{B0EAC754-6669-48C6-B73F-BA3DF232AF8F}"/>
            </a:ext>
          </a:extLst>
        </xdr:cNvPr>
        <xdr:cNvSpPr txBox="1"/>
      </xdr:nvSpPr>
      <xdr:spPr>
        <a:xfrm>
          <a:off x="9033933" y="20688300"/>
          <a:ext cx="184731" cy="27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156633</xdr:colOff>
      <xdr:row>37</xdr:row>
      <xdr:rowOff>0</xdr:rowOff>
    </xdr:from>
    <xdr:ext cx="184731" cy="271950"/>
    <xdr:sp macro="" textlink="">
      <xdr:nvSpPr>
        <xdr:cNvPr id="44" name="TextBox 2">
          <a:extLst>
            <a:ext uri="{FF2B5EF4-FFF2-40B4-BE49-F238E27FC236}">
              <a16:creationId xmlns:a16="http://schemas.microsoft.com/office/drawing/2014/main" id="{35F118AD-34B8-45FA-9CC4-B228434EC93F}"/>
            </a:ext>
          </a:extLst>
        </xdr:cNvPr>
        <xdr:cNvSpPr txBox="1"/>
      </xdr:nvSpPr>
      <xdr:spPr>
        <a:xfrm>
          <a:off x="9110133" y="20688300"/>
          <a:ext cx="184731" cy="27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37</xdr:row>
      <xdr:rowOff>0</xdr:rowOff>
    </xdr:from>
    <xdr:ext cx="184731" cy="271950"/>
    <xdr:sp macro="" textlink="">
      <xdr:nvSpPr>
        <xdr:cNvPr id="45" name="TextBox 3">
          <a:extLst>
            <a:ext uri="{FF2B5EF4-FFF2-40B4-BE49-F238E27FC236}">
              <a16:creationId xmlns:a16="http://schemas.microsoft.com/office/drawing/2014/main" id="{F2BDC2FC-622B-43EF-AEF6-2E82E8388395}"/>
            </a:ext>
          </a:extLst>
        </xdr:cNvPr>
        <xdr:cNvSpPr txBox="1"/>
      </xdr:nvSpPr>
      <xdr:spPr>
        <a:xfrm>
          <a:off x="9033933" y="20688300"/>
          <a:ext cx="184731" cy="27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oneCellAnchor>
    <xdr:from>
      <xdr:col>18</xdr:col>
      <xdr:colOff>80433</xdr:colOff>
      <xdr:row>37</xdr:row>
      <xdr:rowOff>0</xdr:rowOff>
    </xdr:from>
    <xdr:ext cx="184731" cy="271950"/>
    <xdr:sp macro="" textlink="">
      <xdr:nvSpPr>
        <xdr:cNvPr id="46" name="TextBox 5">
          <a:extLst>
            <a:ext uri="{FF2B5EF4-FFF2-40B4-BE49-F238E27FC236}">
              <a16:creationId xmlns:a16="http://schemas.microsoft.com/office/drawing/2014/main" id="{C21759F9-D118-40AE-A387-2CBDC9E37E22}"/>
            </a:ext>
          </a:extLst>
        </xdr:cNvPr>
        <xdr:cNvSpPr txBox="1"/>
      </xdr:nvSpPr>
      <xdr:spPr>
        <a:xfrm>
          <a:off x="9033933" y="20688300"/>
          <a:ext cx="184731" cy="27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a:p>
      </xdr:txBody>
    </xdr:sp>
    <xdr:clientData/>
  </xdr:oneCellAnchor>
  <xdr:twoCellAnchor>
    <xdr:from>
      <xdr:col>12</xdr:col>
      <xdr:colOff>23445</xdr:colOff>
      <xdr:row>34</xdr:row>
      <xdr:rowOff>383512</xdr:rowOff>
    </xdr:from>
    <xdr:to>
      <xdr:col>14</xdr:col>
      <xdr:colOff>337457</xdr:colOff>
      <xdr:row>35</xdr:row>
      <xdr:rowOff>420355</xdr:rowOff>
    </xdr:to>
    <xdr:sp macro="" textlink="">
      <xdr:nvSpPr>
        <xdr:cNvPr id="47" name="กล่องข้อความ 46">
          <a:extLst>
            <a:ext uri="{FF2B5EF4-FFF2-40B4-BE49-F238E27FC236}">
              <a16:creationId xmlns:a16="http://schemas.microsoft.com/office/drawing/2014/main" id="{9D775479-FE6C-4A27-AC62-05EEB5B4FEFA}"/>
            </a:ext>
          </a:extLst>
        </xdr:cNvPr>
        <xdr:cNvSpPr txBox="1"/>
      </xdr:nvSpPr>
      <xdr:spPr>
        <a:xfrm>
          <a:off x="5743888" y="19727426"/>
          <a:ext cx="1609412" cy="842386"/>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เบี้ยเลี้ยง </a:t>
          </a:r>
          <a:r>
            <a:rPr lang="en-US" sz="1100"/>
            <a:t>120 </a:t>
          </a:r>
          <a:r>
            <a:rPr lang="th-TH" sz="1100"/>
            <a:t>บาท เบิกให้เฉพาะ สสจ.ส่วนอำเภอเบิกต้นสังกัด</a:t>
          </a:r>
        </a:p>
      </xdr:txBody>
    </xdr:sp>
    <xdr:clientData/>
  </xdr:twoCellAnchor>
  <xdr:twoCellAnchor>
    <xdr:from>
      <xdr:col>12</xdr:col>
      <xdr:colOff>21981</xdr:colOff>
      <xdr:row>37</xdr:row>
      <xdr:rowOff>441081</xdr:rowOff>
    </xdr:from>
    <xdr:to>
      <xdr:col>18</xdr:col>
      <xdr:colOff>27214</xdr:colOff>
      <xdr:row>37</xdr:row>
      <xdr:rowOff>889001</xdr:rowOff>
    </xdr:to>
    <xdr:sp macro="" textlink="">
      <xdr:nvSpPr>
        <xdr:cNvPr id="48" name="กล่องข้อความ 47">
          <a:extLst>
            <a:ext uri="{FF2B5EF4-FFF2-40B4-BE49-F238E27FC236}">
              <a16:creationId xmlns:a16="http://schemas.microsoft.com/office/drawing/2014/main" id="{62860771-1E1A-4496-B7CC-8D6AEAA27DFF}"/>
            </a:ext>
          </a:extLst>
        </xdr:cNvPr>
        <xdr:cNvSpPr txBox="1"/>
      </xdr:nvSpPr>
      <xdr:spPr>
        <a:xfrm>
          <a:off x="8349553" y="23673009"/>
          <a:ext cx="3243733" cy="44792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ประสานนอกรอบ กับ คุณอี๊ด เรื่องขอเพิ่ม บล.พขร.และกระดาษทำใบอนุญาตจำหน่ายกัญชา</a:t>
          </a:r>
        </a:p>
      </xdr:txBody>
    </xdr:sp>
    <xdr:clientData/>
  </xdr:twoCellAnchor>
  <xdr:twoCellAnchor>
    <xdr:from>
      <xdr:col>11</xdr:col>
      <xdr:colOff>64478</xdr:colOff>
      <xdr:row>43</xdr:row>
      <xdr:rowOff>1231762</xdr:rowOff>
    </xdr:from>
    <xdr:to>
      <xdr:col>12</xdr:col>
      <xdr:colOff>355880</xdr:colOff>
      <xdr:row>43</xdr:row>
      <xdr:rowOff>1688126</xdr:rowOff>
    </xdr:to>
    <xdr:sp macro="" textlink="">
      <xdr:nvSpPr>
        <xdr:cNvPr id="49" name="กล่องข้อความ 48">
          <a:extLst>
            <a:ext uri="{FF2B5EF4-FFF2-40B4-BE49-F238E27FC236}">
              <a16:creationId xmlns:a16="http://schemas.microsoft.com/office/drawing/2014/main" id="{F4B3FF88-26CE-46AD-9E8D-744B6A5417F0}"/>
            </a:ext>
          </a:extLst>
        </xdr:cNvPr>
        <xdr:cNvSpPr txBox="1"/>
      </xdr:nvSpPr>
      <xdr:spPr>
        <a:xfrm>
          <a:off x="4533064" y="26883948"/>
          <a:ext cx="1543259" cy="45636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ค่าที่พักอัตรา </a:t>
          </a:r>
          <a:r>
            <a:rPr lang="en-US" sz="1100"/>
            <a:t>1500</a:t>
          </a:r>
          <a:endParaRPr lang="th-TH"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523875</xdr:colOff>
      <xdr:row>1</xdr:row>
      <xdr:rowOff>209550</xdr:rowOff>
    </xdr:from>
    <xdr:ext cx="2066926" cy="285750"/>
    <xdr:sp macro="" textlink="">
      <xdr:nvSpPr>
        <xdr:cNvPr id="2" name="TextBox 2">
          <a:extLst>
            <a:ext uri="{FF2B5EF4-FFF2-40B4-BE49-F238E27FC236}">
              <a16:creationId xmlns:a16="http://schemas.microsoft.com/office/drawing/2014/main" id="{8DF7D08D-E89A-4CBA-80E7-67EA992A56FB}"/>
            </a:ext>
          </a:extLst>
        </xdr:cNvPr>
        <xdr:cNvSpPr txBox="1"/>
      </xdr:nvSpPr>
      <xdr:spPr>
        <a:xfrm>
          <a:off x="3795032" y="552450"/>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523875</xdr:colOff>
      <xdr:row>1</xdr:row>
      <xdr:rowOff>209550</xdr:rowOff>
    </xdr:from>
    <xdr:ext cx="2066926" cy="285750"/>
    <xdr:sp macro="" textlink="">
      <xdr:nvSpPr>
        <xdr:cNvPr id="2" name="TextBox 2">
          <a:extLst>
            <a:ext uri="{FF2B5EF4-FFF2-40B4-BE49-F238E27FC236}">
              <a16:creationId xmlns:a16="http://schemas.microsoft.com/office/drawing/2014/main" id="{7420F931-76E5-46AD-8E52-C4061A726284}"/>
            </a:ext>
          </a:extLst>
        </xdr:cNvPr>
        <xdr:cNvSpPr txBox="1"/>
      </xdr:nvSpPr>
      <xdr:spPr>
        <a:xfrm>
          <a:off x="4023632" y="552450"/>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523875</xdr:colOff>
      <xdr:row>1</xdr:row>
      <xdr:rowOff>209550</xdr:rowOff>
    </xdr:from>
    <xdr:ext cx="2066926" cy="285750"/>
    <xdr:sp macro="" textlink="">
      <xdr:nvSpPr>
        <xdr:cNvPr id="2" name="TextBox 2">
          <a:extLst>
            <a:ext uri="{FF2B5EF4-FFF2-40B4-BE49-F238E27FC236}">
              <a16:creationId xmlns:a16="http://schemas.microsoft.com/office/drawing/2014/main" id="{58BCC5FC-BC3D-43A9-8AFE-5A33AB3AE18B}"/>
            </a:ext>
          </a:extLst>
        </xdr:cNvPr>
        <xdr:cNvSpPr txBox="1"/>
      </xdr:nvSpPr>
      <xdr:spPr>
        <a:xfrm>
          <a:off x="4366532" y="650421"/>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oneCellAnchor>
    <xdr:from>
      <xdr:col>5</xdr:col>
      <xdr:colOff>523875</xdr:colOff>
      <xdr:row>2</xdr:row>
      <xdr:rowOff>166007</xdr:rowOff>
    </xdr:from>
    <xdr:ext cx="2066926" cy="285750"/>
    <xdr:sp macro="" textlink="">
      <xdr:nvSpPr>
        <xdr:cNvPr id="3" name="TextBox 2">
          <a:extLst>
            <a:ext uri="{FF2B5EF4-FFF2-40B4-BE49-F238E27FC236}">
              <a16:creationId xmlns:a16="http://schemas.microsoft.com/office/drawing/2014/main" id="{3545A648-C630-4777-B391-349CD9287EFD}"/>
            </a:ext>
          </a:extLst>
        </xdr:cNvPr>
        <xdr:cNvSpPr txBox="1"/>
      </xdr:nvSpPr>
      <xdr:spPr>
        <a:xfrm>
          <a:off x="4366532" y="1047750"/>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twoCellAnchor>
    <xdr:from>
      <xdr:col>23</xdr:col>
      <xdr:colOff>292099</xdr:colOff>
      <xdr:row>22</xdr:row>
      <xdr:rowOff>47475</xdr:rowOff>
    </xdr:from>
    <xdr:to>
      <xdr:col>25</xdr:col>
      <xdr:colOff>586478</xdr:colOff>
      <xdr:row>22</xdr:row>
      <xdr:rowOff>944638</xdr:rowOff>
    </xdr:to>
    <xdr:sp macro="" textlink="">
      <xdr:nvSpPr>
        <xdr:cNvPr id="4" name="กล่องข้อความ 3">
          <a:extLst>
            <a:ext uri="{FF2B5EF4-FFF2-40B4-BE49-F238E27FC236}">
              <a16:creationId xmlns:a16="http://schemas.microsoft.com/office/drawing/2014/main" id="{0C6CA803-E691-40A7-A529-FD53EDDE3D99}"/>
            </a:ext>
          </a:extLst>
        </xdr:cNvPr>
        <xdr:cNvSpPr txBox="1"/>
      </xdr:nvSpPr>
      <xdr:spPr>
        <a:xfrm>
          <a:off x="20120428" y="20115289"/>
          <a:ext cx="1524464" cy="897163"/>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บูรณาการร่วมกับการนิเทศงานผสมผสาน</a:t>
          </a:r>
        </a:p>
      </xdr:txBody>
    </xdr:sp>
    <xdr:clientData/>
  </xdr:twoCellAnchor>
  <xdr:oneCellAnchor>
    <xdr:from>
      <xdr:col>5</xdr:col>
      <xdr:colOff>523875</xdr:colOff>
      <xdr:row>1</xdr:row>
      <xdr:rowOff>209550</xdr:rowOff>
    </xdr:from>
    <xdr:ext cx="2066926" cy="285750"/>
    <xdr:sp macro="" textlink="">
      <xdr:nvSpPr>
        <xdr:cNvPr id="5" name="TextBox 2">
          <a:extLst>
            <a:ext uri="{FF2B5EF4-FFF2-40B4-BE49-F238E27FC236}">
              <a16:creationId xmlns:a16="http://schemas.microsoft.com/office/drawing/2014/main" id="{F48E1CF6-61E1-4F0A-BED1-288350CF0EFD}"/>
            </a:ext>
          </a:extLst>
        </xdr:cNvPr>
        <xdr:cNvSpPr txBox="1"/>
      </xdr:nvSpPr>
      <xdr:spPr>
        <a:xfrm>
          <a:off x="4344761" y="650421"/>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oneCellAnchor>
    <xdr:from>
      <xdr:col>5</xdr:col>
      <xdr:colOff>523875</xdr:colOff>
      <xdr:row>1</xdr:row>
      <xdr:rowOff>209550</xdr:rowOff>
    </xdr:from>
    <xdr:ext cx="2066926" cy="285750"/>
    <xdr:sp macro="" textlink="">
      <xdr:nvSpPr>
        <xdr:cNvPr id="6" name="TextBox 2">
          <a:extLst>
            <a:ext uri="{FF2B5EF4-FFF2-40B4-BE49-F238E27FC236}">
              <a16:creationId xmlns:a16="http://schemas.microsoft.com/office/drawing/2014/main" id="{B4F171A6-4714-4B3E-9453-BE3073A91D74}"/>
            </a:ext>
          </a:extLst>
        </xdr:cNvPr>
        <xdr:cNvSpPr txBox="1"/>
      </xdr:nvSpPr>
      <xdr:spPr>
        <a:xfrm>
          <a:off x="4344761" y="650421"/>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twoCellAnchor>
    <xdr:from>
      <xdr:col>23</xdr:col>
      <xdr:colOff>292099</xdr:colOff>
      <xdr:row>22</xdr:row>
      <xdr:rowOff>47475</xdr:rowOff>
    </xdr:from>
    <xdr:to>
      <xdr:col>25</xdr:col>
      <xdr:colOff>586478</xdr:colOff>
      <xdr:row>22</xdr:row>
      <xdr:rowOff>944638</xdr:rowOff>
    </xdr:to>
    <xdr:sp macro="" textlink="">
      <xdr:nvSpPr>
        <xdr:cNvPr id="7" name="กล่องข้อความ 6">
          <a:extLst>
            <a:ext uri="{FF2B5EF4-FFF2-40B4-BE49-F238E27FC236}">
              <a16:creationId xmlns:a16="http://schemas.microsoft.com/office/drawing/2014/main" id="{6D76711C-E1A0-433A-AEA8-6B57B2AD015C}"/>
            </a:ext>
          </a:extLst>
        </xdr:cNvPr>
        <xdr:cNvSpPr txBox="1"/>
      </xdr:nvSpPr>
      <xdr:spPr>
        <a:xfrm>
          <a:off x="20098656" y="20115289"/>
          <a:ext cx="1524465" cy="897163"/>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บูรณาการร่วมกับการนิเทศงานผสมผสาน</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xdr:col>
      <xdr:colOff>523875</xdr:colOff>
      <xdr:row>1</xdr:row>
      <xdr:rowOff>209550</xdr:rowOff>
    </xdr:from>
    <xdr:ext cx="2066926" cy="285750"/>
    <xdr:sp macro="" textlink="">
      <xdr:nvSpPr>
        <xdr:cNvPr id="2" name="TextBox 2">
          <a:extLst>
            <a:ext uri="{FF2B5EF4-FFF2-40B4-BE49-F238E27FC236}">
              <a16:creationId xmlns:a16="http://schemas.microsoft.com/office/drawing/2014/main" id="{0438BE27-5F63-46D8-8C07-FBE362A6EE79}"/>
            </a:ext>
          </a:extLst>
        </xdr:cNvPr>
        <xdr:cNvSpPr txBox="1"/>
      </xdr:nvSpPr>
      <xdr:spPr>
        <a:xfrm>
          <a:off x="4796518" y="514350"/>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latin typeface="TH SarabunPSK" pitchFamily="34" charset="-34"/>
            <a:cs typeface="TH SarabunPSK" pitchFamily="34" charset="-34"/>
          </a:endParaRPr>
        </a:p>
      </xdr:txBody>
    </xdr:sp>
    <xdr:clientData/>
  </xdr:oneCellAnchor>
  <xdr:oneCellAnchor>
    <xdr:from>
      <xdr:col>5</xdr:col>
      <xdr:colOff>523875</xdr:colOff>
      <xdr:row>1</xdr:row>
      <xdr:rowOff>209550</xdr:rowOff>
    </xdr:from>
    <xdr:ext cx="2066926" cy="285750"/>
    <xdr:sp macro="" textlink="">
      <xdr:nvSpPr>
        <xdr:cNvPr id="3" name="TextBox 2">
          <a:extLst>
            <a:ext uri="{FF2B5EF4-FFF2-40B4-BE49-F238E27FC236}">
              <a16:creationId xmlns:a16="http://schemas.microsoft.com/office/drawing/2014/main" id="{6F095E83-9EE5-434A-8DC2-9F3BB0F2A172}"/>
            </a:ext>
          </a:extLst>
        </xdr:cNvPr>
        <xdr:cNvSpPr txBox="1"/>
      </xdr:nvSpPr>
      <xdr:spPr>
        <a:xfrm>
          <a:off x="4796518" y="514350"/>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oneCellAnchor>
    <xdr:from>
      <xdr:col>5</xdr:col>
      <xdr:colOff>523875</xdr:colOff>
      <xdr:row>1</xdr:row>
      <xdr:rowOff>209550</xdr:rowOff>
    </xdr:from>
    <xdr:ext cx="2066926" cy="285750"/>
    <xdr:sp macro="" textlink="">
      <xdr:nvSpPr>
        <xdr:cNvPr id="4" name="TextBox 2">
          <a:extLst>
            <a:ext uri="{FF2B5EF4-FFF2-40B4-BE49-F238E27FC236}">
              <a16:creationId xmlns:a16="http://schemas.microsoft.com/office/drawing/2014/main" id="{B3C569CB-107F-4462-9B94-BFC4C0565FA0}"/>
            </a:ext>
          </a:extLst>
        </xdr:cNvPr>
        <xdr:cNvSpPr txBox="1"/>
      </xdr:nvSpPr>
      <xdr:spPr>
        <a:xfrm>
          <a:off x="4796518" y="514350"/>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latin typeface="TH SarabunPSK" pitchFamily="34" charset="-34"/>
            <a:cs typeface="TH SarabunPSK" pitchFamily="34" charset="-34"/>
          </a:endParaRPr>
        </a:p>
      </xdr:txBody>
    </xdr:sp>
    <xdr:clientData/>
  </xdr:oneCellAnchor>
  <xdr:oneCellAnchor>
    <xdr:from>
      <xdr:col>5</xdr:col>
      <xdr:colOff>523875</xdr:colOff>
      <xdr:row>1</xdr:row>
      <xdr:rowOff>209550</xdr:rowOff>
    </xdr:from>
    <xdr:ext cx="2066926" cy="285750"/>
    <xdr:sp macro="" textlink="">
      <xdr:nvSpPr>
        <xdr:cNvPr id="5" name="TextBox 4">
          <a:extLst>
            <a:ext uri="{FF2B5EF4-FFF2-40B4-BE49-F238E27FC236}">
              <a16:creationId xmlns:a16="http://schemas.microsoft.com/office/drawing/2014/main" id="{FE400F0F-D4FE-46B0-A7C1-CA8A714D542F}"/>
            </a:ext>
          </a:extLst>
        </xdr:cNvPr>
        <xdr:cNvSpPr txBox="1"/>
      </xdr:nvSpPr>
      <xdr:spPr>
        <a:xfrm>
          <a:off x="4796518" y="514350"/>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523875</xdr:colOff>
      <xdr:row>1</xdr:row>
      <xdr:rowOff>209550</xdr:rowOff>
    </xdr:from>
    <xdr:ext cx="2066926" cy="285750"/>
    <xdr:sp macro="" textlink="">
      <xdr:nvSpPr>
        <xdr:cNvPr id="2" name="TextBox 2">
          <a:extLst>
            <a:ext uri="{FF2B5EF4-FFF2-40B4-BE49-F238E27FC236}">
              <a16:creationId xmlns:a16="http://schemas.microsoft.com/office/drawing/2014/main" id="{CF61D53C-13F1-41B4-8C2C-323FAF3D9E61}"/>
            </a:ext>
          </a:extLst>
        </xdr:cNvPr>
        <xdr:cNvSpPr txBox="1"/>
      </xdr:nvSpPr>
      <xdr:spPr>
        <a:xfrm>
          <a:off x="2238375" y="345621"/>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oneCellAnchor>
    <xdr:from>
      <xdr:col>5</xdr:col>
      <xdr:colOff>523875</xdr:colOff>
      <xdr:row>1</xdr:row>
      <xdr:rowOff>209550</xdr:rowOff>
    </xdr:from>
    <xdr:ext cx="2066926" cy="285750"/>
    <xdr:sp macro="" textlink="">
      <xdr:nvSpPr>
        <xdr:cNvPr id="3" name="TextBox 2">
          <a:extLst>
            <a:ext uri="{FF2B5EF4-FFF2-40B4-BE49-F238E27FC236}">
              <a16:creationId xmlns:a16="http://schemas.microsoft.com/office/drawing/2014/main" id="{35EF7694-15BB-4591-A6D0-B3AC0F37C813}"/>
            </a:ext>
          </a:extLst>
        </xdr:cNvPr>
        <xdr:cNvSpPr txBox="1"/>
      </xdr:nvSpPr>
      <xdr:spPr>
        <a:xfrm>
          <a:off x="2238375" y="345621"/>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twoCellAnchor>
    <xdr:from>
      <xdr:col>13</xdr:col>
      <xdr:colOff>0</xdr:colOff>
      <xdr:row>18</xdr:row>
      <xdr:rowOff>1</xdr:rowOff>
    </xdr:from>
    <xdr:to>
      <xdr:col>15</xdr:col>
      <xdr:colOff>12560</xdr:colOff>
      <xdr:row>18</xdr:row>
      <xdr:rowOff>498929</xdr:rowOff>
    </xdr:to>
    <xdr:sp macro="" textlink="">
      <xdr:nvSpPr>
        <xdr:cNvPr id="4" name="กล่องข้อความ 3">
          <a:extLst>
            <a:ext uri="{FF2B5EF4-FFF2-40B4-BE49-F238E27FC236}">
              <a16:creationId xmlns:a16="http://schemas.microsoft.com/office/drawing/2014/main" id="{47B5BA80-D80D-4049-89AD-EF0CA3F253C9}"/>
            </a:ext>
          </a:extLst>
        </xdr:cNvPr>
        <xdr:cNvSpPr txBox="1"/>
      </xdr:nvSpPr>
      <xdr:spPr>
        <a:xfrm>
          <a:off x="8010072" y="8327573"/>
          <a:ext cx="1772416" cy="498928"/>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บูรณาการ</a:t>
          </a:r>
        </a:p>
      </xdr:txBody>
    </xdr:sp>
    <xdr:clientData/>
  </xdr:twoCellAnchor>
  <xdr:twoCellAnchor>
    <xdr:from>
      <xdr:col>13</xdr:col>
      <xdr:colOff>0</xdr:colOff>
      <xdr:row>75</xdr:row>
      <xdr:rowOff>18142</xdr:rowOff>
    </xdr:from>
    <xdr:to>
      <xdr:col>15</xdr:col>
      <xdr:colOff>12560</xdr:colOff>
      <xdr:row>75</xdr:row>
      <xdr:rowOff>380999</xdr:rowOff>
    </xdr:to>
    <xdr:sp macro="" textlink="">
      <xdr:nvSpPr>
        <xdr:cNvPr id="5" name="กล่องข้อความ 4">
          <a:extLst>
            <a:ext uri="{FF2B5EF4-FFF2-40B4-BE49-F238E27FC236}">
              <a16:creationId xmlns:a16="http://schemas.microsoft.com/office/drawing/2014/main" id="{AFA35BA9-DEFE-4556-8B28-12C03A75B14F}"/>
            </a:ext>
          </a:extLst>
        </xdr:cNvPr>
        <xdr:cNvSpPr txBox="1"/>
      </xdr:nvSpPr>
      <xdr:spPr>
        <a:xfrm>
          <a:off x="8010072" y="46481999"/>
          <a:ext cx="1772416" cy="36285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ลด </a:t>
          </a:r>
          <a:r>
            <a:rPr lang="en-US" sz="1100"/>
            <a:t>3 </a:t>
          </a:r>
          <a:r>
            <a:rPr lang="en-US" sz="1100" baseline="0"/>
            <a:t> </a:t>
          </a:r>
          <a:r>
            <a:rPr lang="th-TH" sz="1100" baseline="0"/>
            <a:t>ครั้ง ออนไลน์ </a:t>
          </a:r>
          <a:r>
            <a:rPr lang="en-US" sz="1100" baseline="0"/>
            <a:t> 3 </a:t>
          </a:r>
          <a:r>
            <a:rPr lang="th-TH" sz="1100" baseline="0"/>
            <a:t>ครั้ง</a:t>
          </a:r>
          <a:endParaRPr lang="th-TH" sz="1100"/>
        </a:p>
      </xdr:txBody>
    </xdr:sp>
    <xdr:clientData/>
  </xdr:twoCellAnchor>
  <xdr:twoCellAnchor>
    <xdr:from>
      <xdr:col>13</xdr:col>
      <xdr:colOff>0</xdr:colOff>
      <xdr:row>77</xdr:row>
      <xdr:rowOff>925286</xdr:rowOff>
    </xdr:from>
    <xdr:to>
      <xdr:col>15</xdr:col>
      <xdr:colOff>12560</xdr:colOff>
      <xdr:row>77</xdr:row>
      <xdr:rowOff>1371600</xdr:rowOff>
    </xdr:to>
    <xdr:sp macro="" textlink="">
      <xdr:nvSpPr>
        <xdr:cNvPr id="6" name="กล่องข้อความ 5">
          <a:extLst>
            <a:ext uri="{FF2B5EF4-FFF2-40B4-BE49-F238E27FC236}">
              <a16:creationId xmlns:a16="http://schemas.microsoft.com/office/drawing/2014/main" id="{9E0FF835-34D0-4B20-AFD3-E9923224156D}"/>
            </a:ext>
          </a:extLst>
        </xdr:cNvPr>
        <xdr:cNvSpPr txBox="1"/>
      </xdr:nvSpPr>
      <xdr:spPr>
        <a:xfrm>
          <a:off x="8010072" y="48577501"/>
          <a:ext cx="1772416" cy="446314"/>
        </a:xfrm>
        <a:prstGeom prst="rect">
          <a:avLst/>
        </a:prstGeom>
        <a:solidFill>
          <a:srgbClr val="ED7D31"/>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h-TH"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ลดอาหารกลางวันเหลือ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6 </a:t>
          </a:r>
          <a:r>
            <a:rPr kumimoji="0" lang="th-TH" sz="1100" b="0" i="0" u="none" strike="noStrike" kern="0" cap="none" spc="0" normalizeH="0" baseline="0" noProof="0">
              <a:ln>
                <a:noFill/>
              </a:ln>
              <a:solidFill>
                <a:sysClr val="windowText" lastClr="000000"/>
              </a:solidFill>
              <a:effectLst/>
              <a:uLnTx/>
              <a:uFillTx/>
              <a:latin typeface="Calibri" panose="020F0502020204030204"/>
              <a:ea typeface="+mn-ea"/>
              <a:cs typeface="Tahoma" panose="020B0604030504040204" pitchFamily="34" charset="0"/>
            </a:rPr>
            <a:t>ครั้ง</a:t>
          </a:r>
        </a:p>
      </xdr:txBody>
    </xdr:sp>
    <xdr:clientData/>
  </xdr:twoCellAnchor>
  <xdr:twoCellAnchor>
    <xdr:from>
      <xdr:col>13</xdr:col>
      <xdr:colOff>0</xdr:colOff>
      <xdr:row>80</xdr:row>
      <xdr:rowOff>0</xdr:rowOff>
    </xdr:from>
    <xdr:to>
      <xdr:col>15</xdr:col>
      <xdr:colOff>12560</xdr:colOff>
      <xdr:row>80</xdr:row>
      <xdr:rowOff>553357</xdr:rowOff>
    </xdr:to>
    <xdr:sp macro="" textlink="">
      <xdr:nvSpPr>
        <xdr:cNvPr id="7" name="กล่องข้อความ 6">
          <a:extLst>
            <a:ext uri="{FF2B5EF4-FFF2-40B4-BE49-F238E27FC236}">
              <a16:creationId xmlns:a16="http://schemas.microsoft.com/office/drawing/2014/main" id="{98351296-325D-488D-A824-EB0AA7F76C89}"/>
            </a:ext>
          </a:extLst>
        </xdr:cNvPr>
        <xdr:cNvSpPr txBox="1"/>
      </xdr:nvSpPr>
      <xdr:spPr>
        <a:xfrm>
          <a:off x="8010072" y="49992643"/>
          <a:ext cx="1772416" cy="55335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จัดภาครัฐ ในจังหวัด</a:t>
          </a:r>
        </a:p>
      </xdr:txBody>
    </xdr:sp>
    <xdr:clientData/>
  </xdr:twoCellAnchor>
  <xdr:twoCellAnchor>
    <xdr:from>
      <xdr:col>13</xdr:col>
      <xdr:colOff>0</xdr:colOff>
      <xdr:row>107</xdr:row>
      <xdr:rowOff>0</xdr:rowOff>
    </xdr:from>
    <xdr:to>
      <xdr:col>15</xdr:col>
      <xdr:colOff>12560</xdr:colOff>
      <xdr:row>107</xdr:row>
      <xdr:rowOff>293914</xdr:rowOff>
    </xdr:to>
    <xdr:sp macro="" textlink="">
      <xdr:nvSpPr>
        <xdr:cNvPr id="8" name="กล่องข้อความ 7">
          <a:extLst>
            <a:ext uri="{FF2B5EF4-FFF2-40B4-BE49-F238E27FC236}">
              <a16:creationId xmlns:a16="http://schemas.microsoft.com/office/drawing/2014/main" id="{8D6FD411-1642-49D8-B5BD-0594992D09C1}"/>
            </a:ext>
          </a:extLst>
        </xdr:cNvPr>
        <xdr:cNvSpPr txBox="1"/>
      </xdr:nvSpPr>
      <xdr:spPr>
        <a:xfrm>
          <a:off x="8006443" y="71089157"/>
          <a:ext cx="1770603" cy="29391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ขอใช้งบต่าง จาก รพ.</a:t>
          </a:r>
        </a:p>
      </xdr:txBody>
    </xdr:sp>
    <xdr:clientData/>
  </xdr:twoCellAnchor>
  <xdr:twoCellAnchor>
    <xdr:from>
      <xdr:col>14</xdr:col>
      <xdr:colOff>0</xdr:colOff>
      <xdr:row>121</xdr:row>
      <xdr:rowOff>0</xdr:rowOff>
    </xdr:from>
    <xdr:to>
      <xdr:col>16</xdr:col>
      <xdr:colOff>360903</xdr:colOff>
      <xdr:row>121</xdr:row>
      <xdr:rowOff>429985</xdr:rowOff>
    </xdr:to>
    <xdr:sp macro="" textlink="">
      <xdr:nvSpPr>
        <xdr:cNvPr id="9" name="กล่องข้อความ 8">
          <a:extLst>
            <a:ext uri="{FF2B5EF4-FFF2-40B4-BE49-F238E27FC236}">
              <a16:creationId xmlns:a16="http://schemas.microsoft.com/office/drawing/2014/main" id="{8B502B78-D862-4D8F-B780-D31353715A7B}"/>
            </a:ext>
          </a:extLst>
        </xdr:cNvPr>
        <xdr:cNvSpPr txBox="1"/>
      </xdr:nvSpPr>
      <xdr:spPr>
        <a:xfrm>
          <a:off x="9029700" y="79188129"/>
          <a:ext cx="1661746" cy="42998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แผนขอส่วนกลาง รออนุมัติ</a:t>
          </a:r>
        </a:p>
      </xdr:txBody>
    </xdr:sp>
    <xdr:clientData/>
  </xdr:twoCellAnchor>
  <xdr:twoCellAnchor>
    <xdr:from>
      <xdr:col>14</xdr:col>
      <xdr:colOff>228600</xdr:colOff>
      <xdr:row>123</xdr:row>
      <xdr:rowOff>0</xdr:rowOff>
    </xdr:from>
    <xdr:to>
      <xdr:col>17</xdr:col>
      <xdr:colOff>197617</xdr:colOff>
      <xdr:row>123</xdr:row>
      <xdr:rowOff>587829</xdr:rowOff>
    </xdr:to>
    <xdr:sp macro="" textlink="">
      <xdr:nvSpPr>
        <xdr:cNvPr id="10" name="กล่องข้อความ 9">
          <a:extLst>
            <a:ext uri="{FF2B5EF4-FFF2-40B4-BE49-F238E27FC236}">
              <a16:creationId xmlns:a16="http://schemas.microsoft.com/office/drawing/2014/main" id="{4C80D141-ED8A-456E-B7EE-CB9634F122A3}"/>
            </a:ext>
          </a:extLst>
        </xdr:cNvPr>
        <xdr:cNvSpPr txBox="1"/>
      </xdr:nvSpPr>
      <xdr:spPr>
        <a:xfrm>
          <a:off x="9258300" y="81033257"/>
          <a:ext cx="2042746" cy="587829"/>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solidFill>
                <a:schemeClr val="dk1"/>
              </a:solidFill>
              <a:effectLst/>
              <a:latin typeface="+mn-lt"/>
              <a:ea typeface="+mn-ea"/>
              <a:cs typeface="+mn-cs"/>
            </a:rPr>
            <a:t>แผนขอส่วนกลาง</a:t>
          </a:r>
          <a:r>
            <a:rPr lang="th-TH" sz="1100" baseline="0">
              <a:solidFill>
                <a:schemeClr val="dk1"/>
              </a:solidFill>
              <a:effectLst/>
              <a:latin typeface="+mn-lt"/>
              <a:ea typeface="+mn-ea"/>
              <a:cs typeface="+mn-cs"/>
            </a:rPr>
            <a:t> รออนุมัติ</a:t>
          </a:r>
          <a:endParaRPr lang="th-TH">
            <a:effectLst/>
          </a:endParaRPr>
        </a:p>
      </xdr:txBody>
    </xdr:sp>
    <xdr:clientData/>
  </xdr:twoCellAnchor>
  <xdr:twoCellAnchor>
    <xdr:from>
      <xdr:col>11</xdr:col>
      <xdr:colOff>306779</xdr:colOff>
      <xdr:row>104</xdr:row>
      <xdr:rowOff>573974</xdr:rowOff>
    </xdr:from>
    <xdr:to>
      <xdr:col>11</xdr:col>
      <xdr:colOff>2226623</xdr:colOff>
      <xdr:row>104</xdr:row>
      <xdr:rowOff>1019299</xdr:rowOff>
    </xdr:to>
    <xdr:sp macro="" textlink="">
      <xdr:nvSpPr>
        <xdr:cNvPr id="11" name="กล่องข้อความ 10">
          <a:extLst>
            <a:ext uri="{FF2B5EF4-FFF2-40B4-BE49-F238E27FC236}">
              <a16:creationId xmlns:a16="http://schemas.microsoft.com/office/drawing/2014/main" id="{C01D4B73-264B-4ECF-A2F0-D93D24B436B4}"/>
            </a:ext>
          </a:extLst>
        </xdr:cNvPr>
        <xdr:cNvSpPr txBox="1"/>
      </xdr:nvSpPr>
      <xdr:spPr>
        <a:xfrm>
          <a:off x="4938650" y="67483017"/>
          <a:ext cx="1919844" cy="44532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ปรับวิธีการ????? หรือ ลดจำนวน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99785</xdr:colOff>
      <xdr:row>15</xdr:row>
      <xdr:rowOff>335643</xdr:rowOff>
    </xdr:from>
    <xdr:to>
      <xdr:col>12</xdr:col>
      <xdr:colOff>275630</xdr:colOff>
      <xdr:row>15</xdr:row>
      <xdr:rowOff>792007</xdr:rowOff>
    </xdr:to>
    <xdr:sp macro="" textlink="">
      <xdr:nvSpPr>
        <xdr:cNvPr id="2" name="กล่องข้อความ 1">
          <a:extLst>
            <a:ext uri="{FF2B5EF4-FFF2-40B4-BE49-F238E27FC236}">
              <a16:creationId xmlns:a16="http://schemas.microsoft.com/office/drawing/2014/main" id="{55B8F22E-8189-4FFA-A060-F0D02205E29F}"/>
            </a:ext>
          </a:extLst>
        </xdr:cNvPr>
        <xdr:cNvSpPr txBox="1"/>
      </xdr:nvSpPr>
      <xdr:spPr>
        <a:xfrm>
          <a:off x="5107214" y="4020457"/>
          <a:ext cx="1536559" cy="45636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ปรับลดเป้าหมาย</a:t>
          </a:r>
        </a:p>
        <a:p>
          <a:r>
            <a:rPr lang="th-TH" sz="1100"/>
            <a:t>ตัดค่าถ่ายเอกสาร</a:t>
          </a:r>
        </a:p>
        <a:p>
          <a:endParaRPr lang="th-TH" sz="1100"/>
        </a:p>
      </xdr:txBody>
    </xdr:sp>
    <xdr:clientData/>
  </xdr:twoCellAnchor>
  <xdr:twoCellAnchor>
    <xdr:from>
      <xdr:col>11</xdr:col>
      <xdr:colOff>869042</xdr:colOff>
      <xdr:row>17</xdr:row>
      <xdr:rowOff>256721</xdr:rowOff>
    </xdr:from>
    <xdr:to>
      <xdr:col>13</xdr:col>
      <xdr:colOff>273816</xdr:colOff>
      <xdr:row>17</xdr:row>
      <xdr:rowOff>713085</xdr:rowOff>
    </xdr:to>
    <xdr:sp macro="" textlink="">
      <xdr:nvSpPr>
        <xdr:cNvPr id="3" name="กล่องข้อความ 2">
          <a:extLst>
            <a:ext uri="{FF2B5EF4-FFF2-40B4-BE49-F238E27FC236}">
              <a16:creationId xmlns:a16="http://schemas.microsoft.com/office/drawing/2014/main" id="{C8B5F6BD-75CC-45AA-B243-EAABC4002A03}"/>
            </a:ext>
          </a:extLst>
        </xdr:cNvPr>
        <xdr:cNvSpPr txBox="1"/>
      </xdr:nvSpPr>
      <xdr:spPr>
        <a:xfrm>
          <a:off x="5876471" y="6456135"/>
          <a:ext cx="1538374" cy="45636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ปรับลดเป้าหมาย</a:t>
          </a:r>
        </a:p>
        <a:p>
          <a:r>
            <a:rPr lang="th-TH" sz="1100"/>
            <a:t>ตัดค่าถ่ายเอกสาร</a:t>
          </a:r>
        </a:p>
        <a:p>
          <a:endParaRPr lang="th-TH" sz="1100"/>
        </a:p>
      </xdr:txBody>
    </xdr:sp>
    <xdr:clientData/>
  </xdr:twoCellAnchor>
  <xdr:twoCellAnchor>
    <xdr:from>
      <xdr:col>14</xdr:col>
      <xdr:colOff>299357</xdr:colOff>
      <xdr:row>22</xdr:row>
      <xdr:rowOff>729342</xdr:rowOff>
    </xdr:from>
    <xdr:to>
      <xdr:col>17</xdr:col>
      <xdr:colOff>16329</xdr:colOff>
      <xdr:row>24</xdr:row>
      <xdr:rowOff>81643</xdr:rowOff>
    </xdr:to>
    <xdr:sp macro="" textlink="">
      <xdr:nvSpPr>
        <xdr:cNvPr id="4" name="กล่องข้อความ 3">
          <a:extLst>
            <a:ext uri="{FF2B5EF4-FFF2-40B4-BE49-F238E27FC236}">
              <a16:creationId xmlns:a16="http://schemas.microsoft.com/office/drawing/2014/main" id="{4C8C62B4-A031-4B71-B21B-494D090F0785}"/>
            </a:ext>
          </a:extLst>
        </xdr:cNvPr>
        <xdr:cNvSpPr txBox="1"/>
      </xdr:nvSpPr>
      <xdr:spPr>
        <a:xfrm>
          <a:off x="9998528" y="9296399"/>
          <a:ext cx="1219201" cy="53884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t>ปรับลดเป้าหมาย</a:t>
          </a:r>
        </a:p>
        <a:p>
          <a:r>
            <a:rPr lang="th-TH" sz="1100"/>
            <a:t>ตัดค่าถ่ายเอกสาร</a:t>
          </a:r>
        </a:p>
        <a:p>
          <a:endParaRPr lang="th-TH" sz="1100"/>
        </a:p>
      </xdr:txBody>
    </xdr:sp>
    <xdr:clientData/>
  </xdr:twoCellAnchor>
  <xdr:oneCellAnchor>
    <xdr:from>
      <xdr:col>5</xdr:col>
      <xdr:colOff>523875</xdr:colOff>
      <xdr:row>1</xdr:row>
      <xdr:rowOff>209550</xdr:rowOff>
    </xdr:from>
    <xdr:ext cx="2066926" cy="285750"/>
    <xdr:sp macro="" textlink="">
      <xdr:nvSpPr>
        <xdr:cNvPr id="7" name="TextBox 2">
          <a:extLst>
            <a:ext uri="{FF2B5EF4-FFF2-40B4-BE49-F238E27FC236}">
              <a16:creationId xmlns:a16="http://schemas.microsoft.com/office/drawing/2014/main" id="{D51C0E4F-77AB-48E9-BD29-A1B0D1AD2358}"/>
            </a:ext>
          </a:extLst>
        </xdr:cNvPr>
        <xdr:cNvSpPr txBox="1"/>
      </xdr:nvSpPr>
      <xdr:spPr>
        <a:xfrm>
          <a:off x="3348718" y="552450"/>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xdr:col>
      <xdr:colOff>523875</xdr:colOff>
      <xdr:row>1</xdr:row>
      <xdr:rowOff>209550</xdr:rowOff>
    </xdr:from>
    <xdr:ext cx="2066926" cy="285750"/>
    <xdr:sp macro="" textlink="">
      <xdr:nvSpPr>
        <xdr:cNvPr id="2" name="TextBox 2">
          <a:extLst>
            <a:ext uri="{FF2B5EF4-FFF2-40B4-BE49-F238E27FC236}">
              <a16:creationId xmlns:a16="http://schemas.microsoft.com/office/drawing/2014/main" id="{E30126D2-FFB2-4316-96E9-43C8B7BA8C1A}"/>
            </a:ext>
          </a:extLst>
        </xdr:cNvPr>
        <xdr:cNvSpPr txBox="1"/>
      </xdr:nvSpPr>
      <xdr:spPr>
        <a:xfrm>
          <a:off x="3348718" y="552450"/>
          <a:ext cx="2066926"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th-TH" sz="1400">
              <a:solidFill>
                <a:sysClr val="windowText" lastClr="000000"/>
              </a:solidFill>
              <a:latin typeface="+mn-lt"/>
              <a:ea typeface="+mn-ea"/>
              <a:cs typeface="+mj-cs"/>
              <a:sym typeface="Wingdings"/>
            </a:rPr>
            <a:t></a:t>
          </a:r>
          <a:r>
            <a:rPr lang="en-US" sz="1400" baseline="0">
              <a:solidFill>
                <a:sysClr val="windowText" lastClr="000000"/>
              </a:solidFill>
              <a:latin typeface="+mn-lt"/>
              <a:ea typeface="+mn-ea"/>
              <a:cs typeface="+mj-cs"/>
              <a:sym typeface="Wingdings"/>
            </a:rPr>
            <a:t>  </a:t>
          </a:r>
          <a:r>
            <a:rPr lang="en-US" sz="1400">
              <a:solidFill>
                <a:sysClr val="windowText" lastClr="000000"/>
              </a:solidFill>
              <a:latin typeface="+mn-lt"/>
              <a:ea typeface="+mn-ea"/>
              <a:cs typeface="+mj-cs"/>
              <a:sym typeface="Wingdings"/>
            </a:rPr>
            <a:t>E1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E2 </a:t>
          </a:r>
          <a:r>
            <a:rPr lang="th-TH" sz="1400">
              <a:solidFill>
                <a:schemeClr val="tx1"/>
              </a:solidFill>
              <a:latin typeface="+mn-lt"/>
              <a:ea typeface="+mn-ea"/>
              <a:cs typeface="+mj-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E3 </a:t>
          </a:r>
          <a:r>
            <a:rPr lang="th-TH" sz="1400">
              <a:solidFill>
                <a:schemeClr val="tx1"/>
              </a:solidFill>
              <a:latin typeface="+mn-lt"/>
              <a:ea typeface="+mn-ea"/>
              <a:cs typeface="+mn-cs"/>
              <a:sym typeface="Wingdings"/>
            </a:rPr>
            <a:t></a:t>
          </a:r>
          <a:r>
            <a:rPr lang="th-TH" sz="1400">
              <a:solidFill>
                <a:schemeClr val="tx1"/>
              </a:solidFill>
              <a:latin typeface="+mn-lt"/>
              <a:ea typeface="+mn-ea"/>
              <a:cs typeface="+mj-cs"/>
            </a:rPr>
            <a:t> </a:t>
          </a:r>
          <a:r>
            <a:rPr lang="en-US" sz="1400">
              <a:solidFill>
                <a:schemeClr val="tx1"/>
              </a:solidFill>
              <a:latin typeface="+mn-lt"/>
              <a:ea typeface="+mn-ea"/>
              <a:cs typeface="+mj-cs"/>
            </a:rPr>
            <a:t>E4</a:t>
          </a:r>
          <a:endParaRPr lang="th-TH" sz="1400">
            <a:solidFill>
              <a:schemeClr val="tx1"/>
            </a:solidFill>
            <a:latin typeface="+mn-lt"/>
            <a:ea typeface="+mn-ea"/>
            <a:cs typeface="+mj-cs"/>
          </a:endParaRPr>
        </a:p>
        <a:p>
          <a:pPr marL="0" marR="0" indent="0" defTabSz="914400" eaLnBrk="1" fontAlgn="auto" latinLnBrk="0" hangingPunct="1">
            <a:lnSpc>
              <a:spcPct val="100000"/>
            </a:lnSpc>
            <a:spcBef>
              <a:spcPts val="0"/>
            </a:spcBef>
            <a:spcAft>
              <a:spcPts val="0"/>
            </a:spcAft>
            <a:buClrTx/>
            <a:buSzTx/>
            <a:buFontTx/>
            <a:buNone/>
            <a:tabLst/>
            <a:defRPr/>
          </a:pPr>
          <a:endParaRPr lang="th-TH" sz="1400">
            <a:solidFill>
              <a:sysClr val="windowText" lastClr="000000"/>
            </a:solidFill>
            <a:cs typeface="+mj-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V37"/>
  <sheetViews>
    <sheetView zoomScale="80" zoomScaleNormal="80" workbookViewId="0">
      <selection activeCell="A2" sqref="A2:N2"/>
    </sheetView>
  </sheetViews>
  <sheetFormatPr defaultColWidth="9" defaultRowHeight="24"/>
  <cols>
    <col min="1" max="1" width="4.85546875" style="73" customWidth="1"/>
    <col min="2" max="2" width="18.35546875" style="71" customWidth="1"/>
    <col min="3" max="3" width="11.640625" style="79" customWidth="1"/>
    <col min="4" max="4" width="14.5" style="71" customWidth="1"/>
    <col min="5" max="5" width="11.640625" style="71" customWidth="1"/>
    <col min="6" max="6" width="13.640625" style="71" customWidth="1"/>
    <col min="7" max="7" width="11.640625" style="71" customWidth="1"/>
    <col min="8" max="10" width="11.2109375" style="71" customWidth="1"/>
    <col min="11" max="11" width="11.5" style="71" customWidth="1"/>
    <col min="12" max="13" width="11.640625" style="71" bestFit="1" customWidth="1"/>
    <col min="14" max="14" width="13.7109375" style="73" customWidth="1"/>
    <col min="15" max="16384" width="9" style="71"/>
  </cols>
  <sheetData>
    <row r="1" spans="1:14" ht="27">
      <c r="A1" s="3002" t="s">
        <v>277</v>
      </c>
      <c r="B1" s="3002"/>
      <c r="C1" s="3002"/>
      <c r="D1" s="3002"/>
      <c r="E1" s="3002"/>
      <c r="F1" s="3002"/>
      <c r="G1" s="3002"/>
      <c r="H1" s="3002"/>
      <c r="I1" s="3002"/>
      <c r="J1" s="3002"/>
      <c r="K1" s="3002"/>
      <c r="L1" s="3002"/>
      <c r="M1" s="3002"/>
      <c r="N1" s="3002"/>
    </row>
    <row r="2" spans="1:14">
      <c r="A2" s="3003"/>
      <c r="B2" s="3003"/>
      <c r="C2" s="3003"/>
      <c r="D2" s="3003"/>
      <c r="E2" s="3003"/>
      <c r="F2" s="3003"/>
      <c r="G2" s="3003"/>
      <c r="H2" s="3003"/>
      <c r="I2" s="3003"/>
      <c r="J2" s="3003"/>
      <c r="K2" s="3003"/>
      <c r="L2" s="3003"/>
      <c r="M2" s="3003"/>
      <c r="N2" s="3003"/>
    </row>
    <row r="3" spans="1:14" ht="24" customHeight="1">
      <c r="A3" s="3004" t="s">
        <v>6</v>
      </c>
      <c r="B3" s="3004" t="s">
        <v>240</v>
      </c>
      <c r="C3" s="3005" t="s">
        <v>241</v>
      </c>
      <c r="D3" s="3008" t="s">
        <v>178</v>
      </c>
      <c r="E3" s="3009" t="s">
        <v>183</v>
      </c>
      <c r="F3" s="3010"/>
      <c r="G3" s="3010"/>
      <c r="H3" s="3011"/>
      <c r="I3" s="3009" t="s">
        <v>184</v>
      </c>
      <c r="J3" s="3010"/>
      <c r="K3" s="3010"/>
      <c r="L3" s="3010"/>
      <c r="M3" s="3010"/>
      <c r="N3" s="3011"/>
    </row>
    <row r="4" spans="1:14" ht="48" customHeight="1">
      <c r="A4" s="3004"/>
      <c r="B4" s="3004"/>
      <c r="C4" s="3006"/>
      <c r="D4" s="3008"/>
      <c r="E4" s="3012" t="s">
        <v>181</v>
      </c>
      <c r="F4" s="3013"/>
      <c r="G4" s="3012" t="s">
        <v>182</v>
      </c>
      <c r="H4" s="3013"/>
      <c r="I4" s="3005" t="s">
        <v>185</v>
      </c>
      <c r="J4" s="3005" t="s">
        <v>2996</v>
      </c>
      <c r="K4" s="3008" t="s">
        <v>179</v>
      </c>
      <c r="L4" s="3008" t="s">
        <v>2989</v>
      </c>
      <c r="M4" s="3008" t="s">
        <v>180</v>
      </c>
      <c r="N4" s="3008"/>
    </row>
    <row r="5" spans="1:14">
      <c r="A5" s="3004"/>
      <c r="B5" s="3004"/>
      <c r="C5" s="3007"/>
      <c r="D5" s="3008"/>
      <c r="E5" s="74" t="s">
        <v>16</v>
      </c>
      <c r="F5" s="74" t="s">
        <v>17</v>
      </c>
      <c r="G5" s="74" t="s">
        <v>18</v>
      </c>
      <c r="H5" s="74" t="s">
        <v>19</v>
      </c>
      <c r="I5" s="3007"/>
      <c r="J5" s="3007"/>
      <c r="K5" s="3008"/>
      <c r="L5" s="3008"/>
      <c r="M5" s="2879" t="s">
        <v>271</v>
      </c>
      <c r="N5" s="2880" t="s">
        <v>2997</v>
      </c>
    </row>
    <row r="6" spans="1:14">
      <c r="A6" s="74">
        <v>1</v>
      </c>
      <c r="B6" s="72" t="s">
        <v>242</v>
      </c>
      <c r="C6" s="2881">
        <f>ยุทธ!M6</f>
        <v>23</v>
      </c>
      <c r="D6" s="2882">
        <f>ยุทธ!N6</f>
        <v>3311710</v>
      </c>
      <c r="E6" s="77">
        <f>ยุทธ!Q7</f>
        <v>707010</v>
      </c>
      <c r="F6" s="77">
        <f>ยุทธ!T7</f>
        <v>1368250</v>
      </c>
      <c r="G6" s="77">
        <f>ยุทธ!W7</f>
        <v>595450</v>
      </c>
      <c r="H6" s="77">
        <f>ยุทธ!Z7</f>
        <v>641000</v>
      </c>
      <c r="I6" s="77">
        <f>ยุทธ!AA6</f>
        <v>609300</v>
      </c>
      <c r="J6" s="77">
        <f>ยุทธ!AB6</f>
        <v>570000</v>
      </c>
      <c r="K6" s="77">
        <f>ยุทธ!AC6</f>
        <v>0</v>
      </c>
      <c r="L6" s="77">
        <f>ยุทธ!AD6</f>
        <v>1198100</v>
      </c>
      <c r="M6" s="77">
        <f>ยุทธ!AE6</f>
        <v>934310</v>
      </c>
      <c r="N6" s="74" t="s">
        <v>2999</v>
      </c>
    </row>
    <row r="7" spans="1:14">
      <c r="A7" s="74">
        <v>2</v>
      </c>
      <c r="B7" s="72" t="s">
        <v>243</v>
      </c>
      <c r="C7" s="2883">
        <f>บริหาร!M6</f>
        <v>4</v>
      </c>
      <c r="D7" s="2882">
        <f>บริหาร!N6</f>
        <v>215325</v>
      </c>
      <c r="E7" s="77">
        <f>บริหาร!Q7</f>
        <v>39075</v>
      </c>
      <c r="F7" s="77">
        <f>บริหาร!T7</f>
        <v>81075</v>
      </c>
      <c r="G7" s="77">
        <f>บริหาร!W7</f>
        <v>47100</v>
      </c>
      <c r="H7" s="77">
        <f>บริหาร!Z7</f>
        <v>48075</v>
      </c>
      <c r="I7" s="77">
        <f>บริหาร!AA6</f>
        <v>215325</v>
      </c>
      <c r="J7" s="77">
        <f>บริหาร!AB6</f>
        <v>0</v>
      </c>
      <c r="K7" s="77">
        <f>บริหาร!AC6</f>
        <v>0</v>
      </c>
      <c r="L7" s="77">
        <f>บริหาร!AD6</f>
        <v>0</v>
      </c>
      <c r="M7" s="77">
        <f>บริหาร!AE6</f>
        <v>0</v>
      </c>
      <c r="N7" s="74"/>
    </row>
    <row r="8" spans="1:14">
      <c r="A8" s="74">
        <v>3</v>
      </c>
      <c r="B8" s="72" t="s">
        <v>244</v>
      </c>
      <c r="C8" s="2883">
        <f>คบส!M6</f>
        <v>6</v>
      </c>
      <c r="D8" s="2882">
        <f>คบส!N6</f>
        <v>1594165</v>
      </c>
      <c r="E8" s="77">
        <f>คบส!Q7</f>
        <v>221760</v>
      </c>
      <c r="F8" s="77">
        <f>คบส!T7</f>
        <v>893815</v>
      </c>
      <c r="G8" s="77">
        <f>คบส!W7</f>
        <v>245885</v>
      </c>
      <c r="H8" s="77">
        <f>คบส!Z7</f>
        <v>232705</v>
      </c>
      <c r="I8" s="77">
        <f>คบส!AA6</f>
        <v>118100</v>
      </c>
      <c r="J8" s="77">
        <f>คบส!AB6</f>
        <v>378800</v>
      </c>
      <c r="K8" s="77">
        <f>คบส!AC6</f>
        <v>0</v>
      </c>
      <c r="L8" s="77">
        <f>คบส!AD6</f>
        <v>0</v>
      </c>
      <c r="M8" s="77">
        <f>คบส!AE6</f>
        <v>1097265</v>
      </c>
      <c r="N8" s="74" t="s">
        <v>2990</v>
      </c>
    </row>
    <row r="9" spans="1:14">
      <c r="A9" s="74">
        <v>4</v>
      </c>
      <c r="B9" s="72" t="s">
        <v>245</v>
      </c>
      <c r="C9" s="2883">
        <f>ส่งเสริม!M6</f>
        <v>12</v>
      </c>
      <c r="D9" s="2882">
        <f>ส่งเสริม!N6</f>
        <v>6220556</v>
      </c>
      <c r="E9" s="77">
        <f>ส่งเสริม!Q7</f>
        <v>299020</v>
      </c>
      <c r="F9" s="77">
        <f>ส่งเสริม!T7</f>
        <v>4711420</v>
      </c>
      <c r="G9" s="77">
        <f>ส่งเสริม!W7</f>
        <v>1120396</v>
      </c>
      <c r="H9" s="77">
        <f>ส่งเสริม!Z7</f>
        <v>89720</v>
      </c>
      <c r="I9" s="77">
        <f>ส่งเสริม!AA6</f>
        <v>94480</v>
      </c>
      <c r="J9" s="77">
        <f>ส่งเสริม!AB6</f>
        <v>0</v>
      </c>
      <c r="K9" s="77">
        <f>ส่งเสริม!AC6</f>
        <v>0</v>
      </c>
      <c r="L9" s="77">
        <f>ส่งเสริม!AD6</f>
        <v>0</v>
      </c>
      <c r="M9" s="77">
        <f>ส่งเสริม!AE6</f>
        <v>6126076</v>
      </c>
      <c r="N9" s="2884" t="s">
        <v>2994</v>
      </c>
    </row>
    <row r="10" spans="1:14">
      <c r="A10" s="74">
        <v>5</v>
      </c>
      <c r="B10" s="2597" t="s">
        <v>246</v>
      </c>
      <c r="C10" s="2885">
        <f>คร!M6</f>
        <v>11</v>
      </c>
      <c r="D10" s="2886">
        <f>คร!N6</f>
        <v>2044270</v>
      </c>
      <c r="E10" s="77">
        <f>คร!Q7</f>
        <v>45525</v>
      </c>
      <c r="F10" s="77">
        <f>คร!T7</f>
        <v>1845740</v>
      </c>
      <c r="G10" s="77">
        <f>คร!W7</f>
        <v>81705</v>
      </c>
      <c r="H10" s="77">
        <f>คร!Z7</f>
        <v>71300</v>
      </c>
      <c r="I10" s="77">
        <f>คร!AA6</f>
        <v>406270</v>
      </c>
      <c r="J10" s="77">
        <f>คร!AB6</f>
        <v>95600</v>
      </c>
      <c r="K10" s="77">
        <f>คร!AC6</f>
        <v>0</v>
      </c>
      <c r="L10" s="77">
        <f>คร!AD6</f>
        <v>0</v>
      </c>
      <c r="M10" s="77">
        <f>คร!AE6</f>
        <v>1542400</v>
      </c>
      <c r="N10" s="74" t="s">
        <v>553</v>
      </c>
    </row>
    <row r="11" spans="1:14">
      <c r="A11" s="74">
        <v>6</v>
      </c>
      <c r="B11" s="2597" t="s">
        <v>247</v>
      </c>
      <c r="C11" s="2885">
        <f>ประกัน!M6</f>
        <v>12</v>
      </c>
      <c r="D11" s="2886">
        <f>ประกัน!N6</f>
        <v>946910</v>
      </c>
      <c r="E11" s="77">
        <f>ประกัน!Q7</f>
        <v>172785</v>
      </c>
      <c r="F11" s="77">
        <f>ประกัน!T7</f>
        <v>677820</v>
      </c>
      <c r="G11" s="77">
        <f>ประกัน!W7</f>
        <v>37520</v>
      </c>
      <c r="H11" s="77">
        <f>ประกัน!Z7</f>
        <v>58785</v>
      </c>
      <c r="I11" s="77">
        <f>ประกัน!AA6</f>
        <v>152810</v>
      </c>
      <c r="J11" s="77">
        <f>ประกัน!AB6</f>
        <v>0</v>
      </c>
      <c r="K11" s="77">
        <f>ประกัน!AC6</f>
        <v>794100</v>
      </c>
      <c r="L11" s="77">
        <f>ประกัน!AD6</f>
        <v>0</v>
      </c>
      <c r="M11" s="77">
        <f>ประกัน!AE6</f>
        <v>0</v>
      </c>
      <c r="N11" s="74"/>
    </row>
    <row r="12" spans="1:14">
      <c r="A12" s="74">
        <v>7</v>
      </c>
      <c r="B12" s="2597" t="s">
        <v>248</v>
      </c>
      <c r="C12" s="2885">
        <f>กฎหมาย!M6</f>
        <v>3</v>
      </c>
      <c r="D12" s="2886">
        <f>กฎหมาย!N6</f>
        <v>52200</v>
      </c>
      <c r="E12" s="77">
        <f>กฎหมาย!Q7</f>
        <v>17400</v>
      </c>
      <c r="F12" s="77">
        <f>กฎหมาย!T7</f>
        <v>17400</v>
      </c>
      <c r="G12" s="77">
        <f>กฎหมาย!W7</f>
        <v>17400</v>
      </c>
      <c r="H12" s="77">
        <f>กฎหมาย!Z7</f>
        <v>0</v>
      </c>
      <c r="I12" s="77">
        <f>กฎหมาย!AA6</f>
        <v>52200</v>
      </c>
      <c r="J12" s="77">
        <f>กฎหมาย!AB6</f>
        <v>0</v>
      </c>
      <c r="K12" s="77">
        <f>กฎหมาย!AC6</f>
        <v>0</v>
      </c>
      <c r="L12" s="77">
        <f>กฎหมาย!AD6</f>
        <v>0</v>
      </c>
      <c r="M12" s="77">
        <f>กฎหมาย!AE6</f>
        <v>0</v>
      </c>
      <c r="N12" s="74"/>
    </row>
    <row r="13" spans="1:14">
      <c r="A13" s="74">
        <v>8</v>
      </c>
      <c r="B13" s="2597" t="s">
        <v>249</v>
      </c>
      <c r="C13" s="2885">
        <f>NCD!M6</f>
        <v>56</v>
      </c>
      <c r="D13" s="2886">
        <f>NCD!N6</f>
        <v>13383701</v>
      </c>
      <c r="E13" s="77">
        <f>NCD!Q7</f>
        <v>931467</v>
      </c>
      <c r="F13" s="77">
        <f>NCD!T7</f>
        <v>6692380</v>
      </c>
      <c r="G13" s="77">
        <f>NCD!W7</f>
        <v>3705577</v>
      </c>
      <c r="H13" s="77">
        <f>NCD!Z7</f>
        <v>2054277</v>
      </c>
      <c r="I13" s="77">
        <f>NCD!AA6</f>
        <v>135010</v>
      </c>
      <c r="J13" s="77">
        <f>NCD!AB6</f>
        <v>6370925</v>
      </c>
      <c r="K13" s="77">
        <f>NCD!AC6</f>
        <v>2887438</v>
      </c>
      <c r="L13" s="77">
        <f>NCD!AD6</f>
        <v>0</v>
      </c>
      <c r="M13" s="77">
        <f>NCD!AE6</f>
        <v>3990328</v>
      </c>
      <c r="N13" s="2884" t="s">
        <v>2995</v>
      </c>
    </row>
    <row r="14" spans="1:14">
      <c r="A14" s="74">
        <v>9</v>
      </c>
      <c r="B14" s="2597" t="s">
        <v>250</v>
      </c>
      <c r="C14" s="2885">
        <f>พร.!M6</f>
        <v>28</v>
      </c>
      <c r="D14" s="2886">
        <f>พร.!N6</f>
        <v>506630</v>
      </c>
      <c r="E14" s="77">
        <f>พร.!Q7</f>
        <v>184850</v>
      </c>
      <c r="F14" s="77">
        <f>พร.!T7</f>
        <v>143285</v>
      </c>
      <c r="G14" s="77">
        <f>พร.!W7</f>
        <v>98345</v>
      </c>
      <c r="H14" s="77">
        <f>พร.!Z7</f>
        <v>80150</v>
      </c>
      <c r="I14" s="77">
        <f>พร.!AA6</f>
        <v>350540</v>
      </c>
      <c r="J14" s="77">
        <f>พร.!AB6</f>
        <v>156090</v>
      </c>
      <c r="K14" s="77">
        <f>พร.!AC6</f>
        <v>0</v>
      </c>
      <c r="L14" s="77">
        <f>พร.!AD6</f>
        <v>0</v>
      </c>
      <c r="M14" s="77">
        <f>พร.!AE6</f>
        <v>0</v>
      </c>
      <c r="N14" s="74"/>
    </row>
    <row r="15" spans="1:14">
      <c r="A15" s="74">
        <v>10</v>
      </c>
      <c r="B15" s="2597" t="s">
        <v>251</v>
      </c>
      <c r="C15" s="2885">
        <f>อวล.!M6</f>
        <v>14</v>
      </c>
      <c r="D15" s="2886">
        <f>อวล.!N6</f>
        <v>442538</v>
      </c>
      <c r="E15" s="77">
        <f>อวล.!Q7</f>
        <v>72642</v>
      </c>
      <c r="F15" s="77">
        <f>อวล.!T7</f>
        <v>274364</v>
      </c>
      <c r="G15" s="77">
        <f>อวล.!W7</f>
        <v>72762</v>
      </c>
      <c r="H15" s="77">
        <f>อวล.!Z7</f>
        <v>22770</v>
      </c>
      <c r="I15" s="77">
        <f>อวล.!AA6</f>
        <v>0</v>
      </c>
      <c r="J15" s="77">
        <f>อวล.!AB6</f>
        <v>442538</v>
      </c>
      <c r="K15" s="77">
        <f>อวล.!AC6</f>
        <v>0</v>
      </c>
      <c r="L15" s="77">
        <f>อวล.!AD6</f>
        <v>0</v>
      </c>
      <c r="M15" s="77">
        <f>อวล.!AE6</f>
        <v>0</v>
      </c>
      <c r="N15" s="74"/>
    </row>
    <row r="16" spans="1:14">
      <c r="A16" s="74">
        <v>11</v>
      </c>
      <c r="B16" s="2597" t="s">
        <v>252</v>
      </c>
      <c r="C16" s="2885">
        <f>แผนไทย!M6</f>
        <v>11</v>
      </c>
      <c r="D16" s="2886">
        <f>แผนไทย!N6</f>
        <v>196460</v>
      </c>
      <c r="E16" s="77">
        <f>แผนไทย!Q7</f>
        <v>85950</v>
      </c>
      <c r="F16" s="77">
        <f>แผนไทย!T7</f>
        <v>21360</v>
      </c>
      <c r="G16" s="77">
        <f>แผนไทย!W7</f>
        <v>37750</v>
      </c>
      <c r="H16" s="77">
        <f>แผนไทย!Z7</f>
        <v>51400</v>
      </c>
      <c r="I16" s="77">
        <f>แผนไทย!AA6</f>
        <v>46460</v>
      </c>
      <c r="J16" s="77">
        <f>แผนไทย!AB6</f>
        <v>0</v>
      </c>
      <c r="K16" s="77">
        <f>แผนไทย!AC6</f>
        <v>150000</v>
      </c>
      <c r="L16" s="77">
        <f>แผนไทย!AD6</f>
        <v>0</v>
      </c>
      <c r="M16" s="77">
        <f>แผนไทย!AE6</f>
        <v>0</v>
      </c>
      <c r="N16" s="74"/>
    </row>
    <row r="17" spans="1:22">
      <c r="A17" s="74">
        <v>12</v>
      </c>
      <c r="B17" s="2597" t="s">
        <v>253</v>
      </c>
      <c r="C17" s="2885">
        <f>ทันตฯ!M6</f>
        <v>10</v>
      </c>
      <c r="D17" s="2886">
        <f>ทันตฯ!N6</f>
        <v>214110</v>
      </c>
      <c r="E17" s="77">
        <f>ทันตฯ!Q7</f>
        <v>96015</v>
      </c>
      <c r="F17" s="77">
        <f>ทันตฯ!T7</f>
        <v>33985</v>
      </c>
      <c r="G17" s="77">
        <f>ทันตฯ!W7</f>
        <v>49290</v>
      </c>
      <c r="H17" s="77">
        <f>ทันตฯ!Z7</f>
        <v>34820</v>
      </c>
      <c r="I17" s="77">
        <f>ทันตฯ!AA6</f>
        <v>133110</v>
      </c>
      <c r="J17" s="77">
        <f>ทันตฯ!AB6</f>
        <v>0</v>
      </c>
      <c r="K17" s="77">
        <f>ทันตฯ!AC6</f>
        <v>0</v>
      </c>
      <c r="L17" s="77">
        <f>ทันตฯ!AD6</f>
        <v>0</v>
      </c>
      <c r="M17" s="77">
        <f>ทันตฯ!AE6</f>
        <v>81000</v>
      </c>
      <c r="N17" s="74" t="s">
        <v>428</v>
      </c>
    </row>
    <row r="18" spans="1:22">
      <c r="A18" s="74">
        <v>13</v>
      </c>
      <c r="B18" s="2597" t="s">
        <v>254</v>
      </c>
      <c r="C18" s="2885">
        <f>บค.!M6</f>
        <v>12</v>
      </c>
      <c r="D18" s="2886">
        <f>บค.!N6</f>
        <v>840805</v>
      </c>
      <c r="E18" s="77">
        <f>บค.!Q7</f>
        <v>10700</v>
      </c>
      <c r="F18" s="77">
        <f>บค.!T7</f>
        <v>77300</v>
      </c>
      <c r="G18" s="77">
        <f>บค.!W7</f>
        <v>204800</v>
      </c>
      <c r="H18" s="77">
        <f>บค.!Z7</f>
        <v>548005</v>
      </c>
      <c r="I18" s="77">
        <f>บค.!AA6</f>
        <v>578805</v>
      </c>
      <c r="J18" s="77">
        <f>บค.!AB6</f>
        <v>0</v>
      </c>
      <c r="K18" s="77">
        <f>บค.!AC6</f>
        <v>0</v>
      </c>
      <c r="L18" s="77">
        <f>บค.!AD6</f>
        <v>262000</v>
      </c>
      <c r="M18" s="77">
        <f>บค.!AE6</f>
        <v>0</v>
      </c>
      <c r="N18" s="74"/>
    </row>
    <row r="19" spans="1:22" s="78" customFormat="1" ht="32.15" customHeight="1">
      <c r="A19" s="76"/>
      <c r="B19" s="75" t="s">
        <v>255</v>
      </c>
      <c r="C19" s="2879">
        <f t="shared" ref="C19:N19" si="0">SUM(C6:C18)</f>
        <v>202</v>
      </c>
      <c r="D19" s="2887">
        <f>SUM(D6:D18)</f>
        <v>29969380</v>
      </c>
      <c r="E19" s="2887">
        <f t="shared" si="0"/>
        <v>2884199</v>
      </c>
      <c r="F19" s="2887">
        <f t="shared" si="0"/>
        <v>16838194</v>
      </c>
      <c r="G19" s="2887">
        <f t="shared" si="0"/>
        <v>6313980</v>
      </c>
      <c r="H19" s="2887">
        <f t="shared" si="0"/>
        <v>3933007</v>
      </c>
      <c r="I19" s="2887">
        <f t="shared" si="0"/>
        <v>2892410</v>
      </c>
      <c r="J19" s="2887">
        <f t="shared" si="0"/>
        <v>8013953</v>
      </c>
      <c r="K19" s="2887">
        <f t="shared" si="0"/>
        <v>3831538</v>
      </c>
      <c r="L19" s="2887">
        <f t="shared" si="0"/>
        <v>1460100</v>
      </c>
      <c r="M19" s="2887">
        <f t="shared" si="0"/>
        <v>13771379</v>
      </c>
      <c r="N19" s="76">
        <f t="shared" si="0"/>
        <v>0</v>
      </c>
    </row>
    <row r="20" spans="1:22" s="78" customFormat="1" ht="32.15" customHeight="1">
      <c r="A20" s="79"/>
      <c r="B20" s="80"/>
      <c r="C20" s="81"/>
      <c r="D20" s="2888"/>
      <c r="E20" s="2888"/>
      <c r="F20" s="2888"/>
      <c r="G20" s="2888"/>
      <c r="H20" s="2888"/>
      <c r="I20" s="2888"/>
      <c r="J20" s="2888"/>
      <c r="K20" s="2888"/>
      <c r="L20" s="2888"/>
      <c r="M20" s="2888"/>
      <c r="N20" s="79"/>
    </row>
    <row r="21" spans="1:22">
      <c r="B21" s="83"/>
      <c r="C21" s="2889"/>
      <c r="D21" s="84"/>
      <c r="E21" s="84"/>
      <c r="F21" s="84"/>
      <c r="G21" s="84"/>
      <c r="H21" s="84"/>
      <c r="I21" s="84"/>
      <c r="J21" s="84"/>
      <c r="K21" s="84"/>
      <c r="L21" s="84"/>
      <c r="M21" s="84"/>
      <c r="N21" s="84"/>
      <c r="O21" s="84"/>
      <c r="P21" s="84"/>
      <c r="Q21" s="84"/>
      <c r="R21" s="84"/>
      <c r="S21" s="84"/>
      <c r="T21" s="84"/>
      <c r="U21" s="84"/>
      <c r="V21" s="85"/>
    </row>
    <row r="22" spans="1:22" hidden="1">
      <c r="A22" s="71"/>
      <c r="B22" s="71" t="s">
        <v>256</v>
      </c>
      <c r="D22" s="73"/>
      <c r="N22" s="71"/>
      <c r="Q22" s="71" t="s">
        <v>257</v>
      </c>
      <c r="U22" s="71" t="s">
        <v>258</v>
      </c>
    </row>
    <row r="23" spans="1:22" hidden="1">
      <c r="A23" s="71"/>
      <c r="B23" s="71" t="s">
        <v>259</v>
      </c>
      <c r="D23" s="73"/>
      <c r="N23" s="71"/>
      <c r="Q23" s="71" t="s">
        <v>260</v>
      </c>
      <c r="U23" s="71" t="s">
        <v>261</v>
      </c>
    </row>
    <row r="24" spans="1:22" hidden="1">
      <c r="A24" s="71"/>
      <c r="B24" s="71" t="s">
        <v>262</v>
      </c>
      <c r="D24" s="73"/>
      <c r="N24" s="71"/>
      <c r="Q24" s="71" t="s">
        <v>263</v>
      </c>
      <c r="U24" s="71" t="s">
        <v>264</v>
      </c>
    </row>
    <row r="25" spans="1:22" hidden="1">
      <c r="A25" s="71"/>
      <c r="D25" s="73"/>
      <c r="N25" s="71"/>
    </row>
    <row r="26" spans="1:22">
      <c r="A26" s="71"/>
      <c r="B26" s="73" t="s">
        <v>265</v>
      </c>
      <c r="C26" s="79" t="s">
        <v>266</v>
      </c>
      <c r="F26" s="71" t="s">
        <v>279</v>
      </c>
      <c r="H26" s="71" t="s">
        <v>267</v>
      </c>
      <c r="K26" s="71" t="s">
        <v>278</v>
      </c>
      <c r="M26" s="71" t="s">
        <v>268</v>
      </c>
      <c r="N26" s="71"/>
    </row>
    <row r="27" spans="1:22">
      <c r="A27" s="71"/>
      <c r="B27" s="71" t="s">
        <v>262</v>
      </c>
      <c r="F27" s="71" t="s">
        <v>3008</v>
      </c>
      <c r="K27" s="71" t="s">
        <v>264</v>
      </c>
      <c r="N27" s="71"/>
    </row>
    <row r="28" spans="1:22" s="78" customFormat="1" ht="32.15" customHeight="1">
      <c r="A28" s="79"/>
      <c r="B28" s="80"/>
      <c r="C28" s="81"/>
      <c r="D28" s="2888"/>
      <c r="E28" s="2888"/>
      <c r="F28" s="2888"/>
      <c r="G28" s="2888"/>
      <c r="H28" s="2888"/>
      <c r="I28" s="2888"/>
      <c r="J28" s="2888"/>
      <c r="K28" s="2888"/>
      <c r="L28" s="2888"/>
      <c r="M28" s="2888"/>
      <c r="N28" s="79"/>
    </row>
    <row r="29" spans="1:22" s="78" customFormat="1" ht="32.15" customHeight="1">
      <c r="A29" s="79"/>
      <c r="B29" s="80"/>
      <c r="C29" s="81"/>
      <c r="D29" s="82"/>
      <c r="E29" s="82"/>
      <c r="F29" s="82"/>
      <c r="G29" s="82"/>
      <c r="H29" s="82"/>
      <c r="I29" s="82"/>
      <c r="J29" s="82"/>
      <c r="K29" s="82"/>
      <c r="L29" s="82"/>
      <c r="M29" s="82"/>
      <c r="N29" s="79"/>
    </row>
    <row r="31" spans="1:22">
      <c r="B31" s="3014" t="s">
        <v>269</v>
      </c>
      <c r="C31" s="3014" t="s">
        <v>241</v>
      </c>
      <c r="D31" s="3009" t="s">
        <v>11</v>
      </c>
      <c r="E31" s="3011"/>
      <c r="F31" s="3016" t="s">
        <v>270</v>
      </c>
      <c r="G31" s="3017"/>
    </row>
    <row r="32" spans="1:22">
      <c r="B32" s="3015"/>
      <c r="C32" s="3015"/>
      <c r="D32" s="76" t="s">
        <v>271</v>
      </c>
      <c r="E32" s="76" t="s">
        <v>272</v>
      </c>
      <c r="F32" s="74" t="s">
        <v>271</v>
      </c>
      <c r="G32" s="74" t="s">
        <v>272</v>
      </c>
    </row>
    <row r="33" spans="2:7">
      <c r="B33" s="74" t="s">
        <v>273</v>
      </c>
      <c r="C33" s="86"/>
      <c r="D33" s="86"/>
      <c r="E33" s="87" t="e">
        <f>D33/$D$37*100</f>
        <v>#DIV/0!</v>
      </c>
      <c r="F33" s="88"/>
      <c r="G33" s="89" t="e">
        <f>F33/D33*100</f>
        <v>#DIV/0!</v>
      </c>
    </row>
    <row r="34" spans="2:7">
      <c r="B34" s="74" t="s">
        <v>274</v>
      </c>
      <c r="C34" s="86"/>
      <c r="D34" s="86"/>
      <c r="E34" s="87" t="e">
        <f>D34/$D$37*100</f>
        <v>#DIV/0!</v>
      </c>
      <c r="F34" s="88"/>
      <c r="G34" s="89" t="e">
        <f t="shared" ref="G34:G37" si="1">F34/D34*100</f>
        <v>#DIV/0!</v>
      </c>
    </row>
    <row r="35" spans="2:7">
      <c r="B35" s="74" t="s">
        <v>275</v>
      </c>
      <c r="C35" s="86"/>
      <c r="D35" s="86"/>
      <c r="E35" s="87" t="e">
        <f>D35/$D$37*100</f>
        <v>#DIV/0!</v>
      </c>
      <c r="F35" s="88"/>
      <c r="G35" s="89" t="e">
        <f t="shared" si="1"/>
        <v>#DIV/0!</v>
      </c>
    </row>
    <row r="36" spans="2:7">
      <c r="B36" s="74" t="s">
        <v>276</v>
      </c>
      <c r="C36" s="86"/>
      <c r="D36" s="86"/>
      <c r="E36" s="87" t="e">
        <f>D36/$D$37*100</f>
        <v>#DIV/0!</v>
      </c>
      <c r="F36" s="88"/>
      <c r="G36" s="89" t="e">
        <f t="shared" si="1"/>
        <v>#DIV/0!</v>
      </c>
    </row>
    <row r="37" spans="2:7">
      <c r="B37" s="74" t="s">
        <v>255</v>
      </c>
      <c r="C37" s="86">
        <f>SUM(C33:C36)</f>
        <v>0</v>
      </c>
      <c r="D37" s="86">
        <f>SUM(D33:D36)</f>
        <v>0</v>
      </c>
      <c r="E37" s="87" t="e">
        <f>D37/$D$37*100</f>
        <v>#DIV/0!</v>
      </c>
      <c r="F37" s="88">
        <f>SUM(F33:F36)</f>
        <v>0</v>
      </c>
      <c r="G37" s="89" t="e">
        <f t="shared" si="1"/>
        <v>#DIV/0!</v>
      </c>
    </row>
  </sheetData>
  <mergeCells count="19">
    <mergeCell ref="B31:B32"/>
    <mergeCell ref="C31:C32"/>
    <mergeCell ref="D31:E31"/>
    <mergeCell ref="F31:G31"/>
    <mergeCell ref="I4:I5"/>
    <mergeCell ref="A1:N1"/>
    <mergeCell ref="A2:N2"/>
    <mergeCell ref="A3:A5"/>
    <mergeCell ref="B3:B5"/>
    <mergeCell ref="C3:C5"/>
    <mergeCell ref="D3:D5"/>
    <mergeCell ref="E3:H3"/>
    <mergeCell ref="I3:N3"/>
    <mergeCell ref="E4:F4"/>
    <mergeCell ref="G4:H4"/>
    <mergeCell ref="J4:J5"/>
    <mergeCell ref="K4:K5"/>
    <mergeCell ref="L4:L5"/>
    <mergeCell ref="M4:N4"/>
  </mergeCells>
  <pageMargins left="0.7" right="0.7" top="0.75" bottom="0.75" header="0.3" footer="0.3"/>
  <pageSetup paperSize="9" scale="55"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92CB-0292-46AD-8FE6-F181AC2B4D2B}">
  <sheetPr>
    <tabColor rgb="FF92D050"/>
  </sheetPr>
  <dimension ref="A1:AE161"/>
  <sheetViews>
    <sheetView tabSelected="1" topLeftCell="D16" zoomScale="60" zoomScaleNormal="60" workbookViewId="0">
      <selection activeCell="M13" sqref="M13:M18"/>
    </sheetView>
  </sheetViews>
  <sheetFormatPr defaultRowHeight="13.75"/>
  <cols>
    <col min="1" max="1" width="4.42578125" style="2042" hidden="1" customWidth="1"/>
    <col min="2" max="2" width="7.5703125" style="2042" hidden="1" customWidth="1"/>
    <col min="3" max="3" width="7.7109375" style="2042" hidden="1" customWidth="1"/>
    <col min="4" max="4" width="4.7109375" style="2043" customWidth="1"/>
    <col min="5" max="5" width="17.78515625" style="2042" customWidth="1"/>
    <col min="6" max="6" width="13.5703125" style="2042" customWidth="1"/>
    <col min="7" max="7" width="24.7109375" style="2042" customWidth="1"/>
    <col min="8" max="8" width="2.85546875" style="2042" hidden="1" customWidth="1"/>
    <col min="9" max="11" width="2.5703125" style="2042" hidden="1" customWidth="1"/>
    <col min="12" max="12" width="33.140625" style="2042" customWidth="1"/>
    <col min="13" max="13" width="11.140625" style="2049" customWidth="1"/>
    <col min="14" max="14" width="13.42578125" style="2042" customWidth="1"/>
    <col min="15" max="15" width="9.640625" style="2042" customWidth="1"/>
    <col min="16" max="16" width="11.140625" style="2042" customWidth="1"/>
    <col min="17" max="18" width="10.140625" style="2042" customWidth="1"/>
    <col min="19" max="19" width="7.5703125" style="2042" customWidth="1"/>
    <col min="20" max="20" width="8" style="2042" customWidth="1"/>
    <col min="21" max="21" width="6.7109375" style="2042" customWidth="1"/>
    <col min="22" max="22" width="7.42578125" style="2042" customWidth="1"/>
    <col min="23" max="23" width="7.5703125" style="2042" customWidth="1"/>
    <col min="24" max="24" width="8.85546875" style="2042" customWidth="1"/>
    <col min="25" max="25" width="10.140625" style="2042" customWidth="1"/>
    <col min="26" max="26" width="6.85546875" style="2042" customWidth="1"/>
    <col min="27" max="27" width="10.5703125" style="2042" customWidth="1"/>
    <col min="28" max="28" width="12.28515625" style="2042" customWidth="1"/>
    <col min="29" max="29" width="9.140625" style="2042"/>
    <col min="30" max="30" width="12.140625" style="2042" bestFit="1" customWidth="1"/>
    <col min="31" max="31" width="10.35546875" style="2042" bestFit="1" customWidth="1"/>
    <col min="32" max="243" width="9.140625" style="2042"/>
    <col min="244" max="244" width="4.28515625" style="2042" customWidth="1"/>
    <col min="245" max="245" width="20.5703125" style="2042" customWidth="1"/>
    <col min="246" max="246" width="12.28515625" style="2042" customWidth="1"/>
    <col min="247" max="247" width="12.5703125" style="2042" customWidth="1"/>
    <col min="248" max="248" width="3.85546875" style="2042" customWidth="1"/>
    <col min="249" max="249" width="4.140625" style="2042" customWidth="1"/>
    <col min="250" max="251" width="4" style="2042" customWidth="1"/>
    <col min="252" max="252" width="16.28515625" style="2042" customWidth="1"/>
    <col min="253" max="253" width="5.5703125" style="2042" customWidth="1"/>
    <col min="254" max="254" width="8.5703125" style="2042" customWidth="1"/>
    <col min="255" max="255" width="5.28515625" style="2042" customWidth="1"/>
    <col min="256" max="256" width="4.28515625" style="2042" customWidth="1"/>
    <col min="257" max="257" width="4.140625" style="2042" customWidth="1"/>
    <col min="258" max="258" width="3" style="2042" customWidth="1"/>
    <col min="259" max="259" width="4.5703125" style="2042" customWidth="1"/>
    <col min="260" max="260" width="4.28515625" style="2042" customWidth="1"/>
    <col min="261" max="261" width="4" style="2042" customWidth="1"/>
    <col min="262" max="262" width="3" style="2042" customWidth="1"/>
    <col min="263" max="263" width="3.85546875" style="2042" customWidth="1"/>
    <col min="264" max="264" width="4.28515625" style="2042" customWidth="1"/>
    <col min="265" max="265" width="3.28515625" style="2042" customWidth="1"/>
    <col min="266" max="266" width="4.85546875" style="2042" customWidth="1"/>
    <col min="267" max="267" width="10.5703125" style="2042" customWidth="1"/>
    <col min="268" max="268" width="7" style="2042" customWidth="1"/>
    <col min="269" max="269" width="8" style="2042" customWidth="1"/>
    <col min="270" max="272" width="7.5703125" style="2042" customWidth="1"/>
    <col min="273" max="273" width="7" style="2042" customWidth="1"/>
    <col min="274" max="499" width="9.140625" style="2042"/>
    <col min="500" max="500" width="4.28515625" style="2042" customWidth="1"/>
    <col min="501" max="501" width="20.5703125" style="2042" customWidth="1"/>
    <col min="502" max="502" width="12.28515625" style="2042" customWidth="1"/>
    <col min="503" max="503" width="12.5703125" style="2042" customWidth="1"/>
    <col min="504" max="504" width="3.85546875" style="2042" customWidth="1"/>
    <col min="505" max="505" width="4.140625" style="2042" customWidth="1"/>
    <col min="506" max="507" width="4" style="2042" customWidth="1"/>
    <col min="508" max="508" width="16.28515625" style="2042" customWidth="1"/>
    <col min="509" max="509" width="5.5703125" style="2042" customWidth="1"/>
    <col min="510" max="510" width="8.5703125" style="2042" customWidth="1"/>
    <col min="511" max="511" width="5.28515625" style="2042" customWidth="1"/>
    <col min="512" max="512" width="4.28515625" style="2042" customWidth="1"/>
    <col min="513" max="513" width="4.140625" style="2042" customWidth="1"/>
    <col min="514" max="514" width="3" style="2042" customWidth="1"/>
    <col min="515" max="515" width="4.5703125" style="2042" customWidth="1"/>
    <col min="516" max="516" width="4.28515625" style="2042" customWidth="1"/>
    <col min="517" max="517" width="4" style="2042" customWidth="1"/>
    <col min="518" max="518" width="3" style="2042" customWidth="1"/>
    <col min="519" max="519" width="3.85546875" style="2042" customWidth="1"/>
    <col min="520" max="520" width="4.28515625" style="2042" customWidth="1"/>
    <col min="521" max="521" width="3.28515625" style="2042" customWidth="1"/>
    <col min="522" max="522" width="4.85546875" style="2042" customWidth="1"/>
    <col min="523" max="523" width="10.5703125" style="2042" customWidth="1"/>
    <col min="524" max="524" width="7" style="2042" customWidth="1"/>
    <col min="525" max="525" width="8" style="2042" customWidth="1"/>
    <col min="526" max="528" width="7.5703125" style="2042" customWidth="1"/>
    <col min="529" max="529" width="7" style="2042" customWidth="1"/>
    <col min="530" max="755" width="9.140625" style="2042"/>
    <col min="756" max="756" width="4.28515625" style="2042" customWidth="1"/>
    <col min="757" max="757" width="20.5703125" style="2042" customWidth="1"/>
    <col min="758" max="758" width="12.28515625" style="2042" customWidth="1"/>
    <col min="759" max="759" width="12.5703125" style="2042" customWidth="1"/>
    <col min="760" max="760" width="3.85546875" style="2042" customWidth="1"/>
    <col min="761" max="761" width="4.140625" style="2042" customWidth="1"/>
    <col min="762" max="763" width="4" style="2042" customWidth="1"/>
    <col min="764" max="764" width="16.28515625" style="2042" customWidth="1"/>
    <col min="765" max="765" width="5.5703125" style="2042" customWidth="1"/>
    <col min="766" max="766" width="8.5703125" style="2042" customWidth="1"/>
    <col min="767" max="767" width="5.28515625" style="2042" customWidth="1"/>
    <col min="768" max="768" width="4.28515625" style="2042" customWidth="1"/>
    <col min="769" max="769" width="4.140625" style="2042" customWidth="1"/>
    <col min="770" max="770" width="3" style="2042" customWidth="1"/>
    <col min="771" max="771" width="4.5703125" style="2042" customWidth="1"/>
    <col min="772" max="772" width="4.28515625" style="2042" customWidth="1"/>
    <col min="773" max="773" width="4" style="2042" customWidth="1"/>
    <col min="774" max="774" width="3" style="2042" customWidth="1"/>
    <col min="775" max="775" width="3.85546875" style="2042" customWidth="1"/>
    <col min="776" max="776" width="4.28515625" style="2042" customWidth="1"/>
    <col min="777" max="777" width="3.28515625" style="2042" customWidth="1"/>
    <col min="778" max="778" width="4.85546875" style="2042" customWidth="1"/>
    <col min="779" max="779" width="10.5703125" style="2042" customWidth="1"/>
    <col min="780" max="780" width="7" style="2042" customWidth="1"/>
    <col min="781" max="781" width="8" style="2042" customWidth="1"/>
    <col min="782" max="784" width="7.5703125" style="2042" customWidth="1"/>
    <col min="785" max="785" width="7" style="2042" customWidth="1"/>
    <col min="786" max="1011" width="9.140625" style="2042"/>
    <col min="1012" max="1012" width="4.28515625" style="2042" customWidth="1"/>
    <col min="1013" max="1013" width="20.5703125" style="2042" customWidth="1"/>
    <col min="1014" max="1014" width="12.28515625" style="2042" customWidth="1"/>
    <col min="1015" max="1015" width="12.5703125" style="2042" customWidth="1"/>
    <col min="1016" max="1016" width="3.85546875" style="2042" customWidth="1"/>
    <col min="1017" max="1017" width="4.140625" style="2042" customWidth="1"/>
    <col min="1018" max="1019" width="4" style="2042" customWidth="1"/>
    <col min="1020" max="1020" width="16.28515625" style="2042" customWidth="1"/>
    <col min="1021" max="1021" width="5.5703125" style="2042" customWidth="1"/>
    <col min="1022" max="1022" width="8.5703125" style="2042" customWidth="1"/>
    <col min="1023" max="1023" width="5.28515625" style="2042" customWidth="1"/>
    <col min="1024" max="1024" width="4.28515625" style="2042" customWidth="1"/>
    <col min="1025" max="1025" width="4.140625" style="2042" customWidth="1"/>
    <col min="1026" max="1026" width="3" style="2042" customWidth="1"/>
    <col min="1027" max="1027" width="4.5703125" style="2042" customWidth="1"/>
    <col min="1028" max="1028" width="4.28515625" style="2042" customWidth="1"/>
    <col min="1029" max="1029" width="4" style="2042" customWidth="1"/>
    <col min="1030" max="1030" width="3" style="2042" customWidth="1"/>
    <col min="1031" max="1031" width="3.85546875" style="2042" customWidth="1"/>
    <col min="1032" max="1032" width="4.28515625" style="2042" customWidth="1"/>
    <col min="1033" max="1033" width="3.28515625" style="2042" customWidth="1"/>
    <col min="1034" max="1034" width="4.85546875" style="2042" customWidth="1"/>
    <col min="1035" max="1035" width="10.5703125" style="2042" customWidth="1"/>
    <col min="1036" max="1036" width="7" style="2042" customWidth="1"/>
    <col min="1037" max="1037" width="8" style="2042" customWidth="1"/>
    <col min="1038" max="1040" width="7.5703125" style="2042" customWidth="1"/>
    <col min="1041" max="1041" width="7" style="2042" customWidth="1"/>
    <col min="1042" max="1267" width="9.140625" style="2042"/>
    <col min="1268" max="1268" width="4.28515625" style="2042" customWidth="1"/>
    <col min="1269" max="1269" width="20.5703125" style="2042" customWidth="1"/>
    <col min="1270" max="1270" width="12.28515625" style="2042" customWidth="1"/>
    <col min="1271" max="1271" width="12.5703125" style="2042" customWidth="1"/>
    <col min="1272" max="1272" width="3.85546875" style="2042" customWidth="1"/>
    <col min="1273" max="1273" width="4.140625" style="2042" customWidth="1"/>
    <col min="1274" max="1275" width="4" style="2042" customWidth="1"/>
    <col min="1276" max="1276" width="16.28515625" style="2042" customWidth="1"/>
    <col min="1277" max="1277" width="5.5703125" style="2042" customWidth="1"/>
    <col min="1278" max="1278" width="8.5703125" style="2042" customWidth="1"/>
    <col min="1279" max="1279" width="5.28515625" style="2042" customWidth="1"/>
    <col min="1280" max="1280" width="4.28515625" style="2042" customWidth="1"/>
    <col min="1281" max="1281" width="4.140625" style="2042" customWidth="1"/>
    <col min="1282" max="1282" width="3" style="2042" customWidth="1"/>
    <col min="1283" max="1283" width="4.5703125" style="2042" customWidth="1"/>
    <col min="1284" max="1284" width="4.28515625" style="2042" customWidth="1"/>
    <col min="1285" max="1285" width="4" style="2042" customWidth="1"/>
    <col min="1286" max="1286" width="3" style="2042" customWidth="1"/>
    <col min="1287" max="1287" width="3.85546875" style="2042" customWidth="1"/>
    <col min="1288" max="1288" width="4.28515625" style="2042" customWidth="1"/>
    <col min="1289" max="1289" width="3.28515625" style="2042" customWidth="1"/>
    <col min="1290" max="1290" width="4.85546875" style="2042" customWidth="1"/>
    <col min="1291" max="1291" width="10.5703125" style="2042" customWidth="1"/>
    <col min="1292" max="1292" width="7" style="2042" customWidth="1"/>
    <col min="1293" max="1293" width="8" style="2042" customWidth="1"/>
    <col min="1294" max="1296" width="7.5703125" style="2042" customWidth="1"/>
    <col min="1297" max="1297" width="7" style="2042" customWidth="1"/>
    <col min="1298" max="1523" width="9.140625" style="2042"/>
    <col min="1524" max="1524" width="4.28515625" style="2042" customWidth="1"/>
    <col min="1525" max="1525" width="20.5703125" style="2042" customWidth="1"/>
    <col min="1526" max="1526" width="12.28515625" style="2042" customWidth="1"/>
    <col min="1527" max="1527" width="12.5703125" style="2042" customWidth="1"/>
    <col min="1528" max="1528" width="3.85546875" style="2042" customWidth="1"/>
    <col min="1529" max="1529" width="4.140625" style="2042" customWidth="1"/>
    <col min="1530" max="1531" width="4" style="2042" customWidth="1"/>
    <col min="1532" max="1532" width="16.28515625" style="2042" customWidth="1"/>
    <col min="1533" max="1533" width="5.5703125" style="2042" customWidth="1"/>
    <col min="1534" max="1534" width="8.5703125" style="2042" customWidth="1"/>
    <col min="1535" max="1535" width="5.28515625" style="2042" customWidth="1"/>
    <col min="1536" max="1536" width="4.28515625" style="2042" customWidth="1"/>
    <col min="1537" max="1537" width="4.140625" style="2042" customWidth="1"/>
    <col min="1538" max="1538" width="3" style="2042" customWidth="1"/>
    <col min="1539" max="1539" width="4.5703125" style="2042" customWidth="1"/>
    <col min="1540" max="1540" width="4.28515625" style="2042" customWidth="1"/>
    <col min="1541" max="1541" width="4" style="2042" customWidth="1"/>
    <col min="1542" max="1542" width="3" style="2042" customWidth="1"/>
    <col min="1543" max="1543" width="3.85546875" style="2042" customWidth="1"/>
    <col min="1544" max="1544" width="4.28515625" style="2042" customWidth="1"/>
    <col min="1545" max="1545" width="3.28515625" style="2042" customWidth="1"/>
    <col min="1546" max="1546" width="4.85546875" style="2042" customWidth="1"/>
    <col min="1547" max="1547" width="10.5703125" style="2042" customWidth="1"/>
    <col min="1548" max="1548" width="7" style="2042" customWidth="1"/>
    <col min="1549" max="1549" width="8" style="2042" customWidth="1"/>
    <col min="1550" max="1552" width="7.5703125" style="2042" customWidth="1"/>
    <col min="1553" max="1553" width="7" style="2042" customWidth="1"/>
    <col min="1554" max="1779" width="9.140625" style="2042"/>
    <col min="1780" max="1780" width="4.28515625" style="2042" customWidth="1"/>
    <col min="1781" max="1781" width="20.5703125" style="2042" customWidth="1"/>
    <col min="1782" max="1782" width="12.28515625" style="2042" customWidth="1"/>
    <col min="1783" max="1783" width="12.5703125" style="2042" customWidth="1"/>
    <col min="1784" max="1784" width="3.85546875" style="2042" customWidth="1"/>
    <col min="1785" max="1785" width="4.140625" style="2042" customWidth="1"/>
    <col min="1786" max="1787" width="4" style="2042" customWidth="1"/>
    <col min="1788" max="1788" width="16.28515625" style="2042" customWidth="1"/>
    <col min="1789" max="1789" width="5.5703125" style="2042" customWidth="1"/>
    <col min="1790" max="1790" width="8.5703125" style="2042" customWidth="1"/>
    <col min="1791" max="1791" width="5.28515625" style="2042" customWidth="1"/>
    <col min="1792" max="1792" width="4.28515625" style="2042" customWidth="1"/>
    <col min="1793" max="1793" width="4.140625" style="2042" customWidth="1"/>
    <col min="1794" max="1794" width="3" style="2042" customWidth="1"/>
    <col min="1795" max="1795" width="4.5703125" style="2042" customWidth="1"/>
    <col min="1796" max="1796" width="4.28515625" style="2042" customWidth="1"/>
    <col min="1797" max="1797" width="4" style="2042" customWidth="1"/>
    <col min="1798" max="1798" width="3" style="2042" customWidth="1"/>
    <col min="1799" max="1799" width="3.85546875" style="2042" customWidth="1"/>
    <col min="1800" max="1800" width="4.28515625" style="2042" customWidth="1"/>
    <col min="1801" max="1801" width="3.28515625" style="2042" customWidth="1"/>
    <col min="1802" max="1802" width="4.85546875" style="2042" customWidth="1"/>
    <col min="1803" max="1803" width="10.5703125" style="2042" customWidth="1"/>
    <col min="1804" max="1804" width="7" style="2042" customWidth="1"/>
    <col min="1805" max="1805" width="8" style="2042" customWidth="1"/>
    <col min="1806" max="1808" width="7.5703125" style="2042" customWidth="1"/>
    <col min="1809" max="1809" width="7" style="2042" customWidth="1"/>
    <col min="1810" max="2035" width="9.140625" style="2042"/>
    <col min="2036" max="2036" width="4.28515625" style="2042" customWidth="1"/>
    <col min="2037" max="2037" width="20.5703125" style="2042" customWidth="1"/>
    <col min="2038" max="2038" width="12.28515625" style="2042" customWidth="1"/>
    <col min="2039" max="2039" width="12.5703125" style="2042" customWidth="1"/>
    <col min="2040" max="2040" width="3.85546875" style="2042" customWidth="1"/>
    <col min="2041" max="2041" width="4.140625" style="2042" customWidth="1"/>
    <col min="2042" max="2043" width="4" style="2042" customWidth="1"/>
    <col min="2044" max="2044" width="16.28515625" style="2042" customWidth="1"/>
    <col min="2045" max="2045" width="5.5703125" style="2042" customWidth="1"/>
    <col min="2046" max="2046" width="8.5703125" style="2042" customWidth="1"/>
    <col min="2047" max="2047" width="5.28515625" style="2042" customWidth="1"/>
    <col min="2048" max="2048" width="4.28515625" style="2042" customWidth="1"/>
    <col min="2049" max="2049" width="4.140625" style="2042" customWidth="1"/>
    <col min="2050" max="2050" width="3" style="2042" customWidth="1"/>
    <col min="2051" max="2051" width="4.5703125" style="2042" customWidth="1"/>
    <col min="2052" max="2052" width="4.28515625" style="2042" customWidth="1"/>
    <col min="2053" max="2053" width="4" style="2042" customWidth="1"/>
    <col min="2054" max="2054" width="3" style="2042" customWidth="1"/>
    <col min="2055" max="2055" width="3.85546875" style="2042" customWidth="1"/>
    <col min="2056" max="2056" width="4.28515625" style="2042" customWidth="1"/>
    <col min="2057" max="2057" width="3.28515625" style="2042" customWidth="1"/>
    <col min="2058" max="2058" width="4.85546875" style="2042" customWidth="1"/>
    <col min="2059" max="2059" width="10.5703125" style="2042" customWidth="1"/>
    <col min="2060" max="2060" width="7" style="2042" customWidth="1"/>
    <col min="2061" max="2061" width="8" style="2042" customWidth="1"/>
    <col min="2062" max="2064" width="7.5703125" style="2042" customWidth="1"/>
    <col min="2065" max="2065" width="7" style="2042" customWidth="1"/>
    <col min="2066" max="2291" width="9.140625" style="2042"/>
    <col min="2292" max="2292" width="4.28515625" style="2042" customWidth="1"/>
    <col min="2293" max="2293" width="20.5703125" style="2042" customWidth="1"/>
    <col min="2294" max="2294" width="12.28515625" style="2042" customWidth="1"/>
    <col min="2295" max="2295" width="12.5703125" style="2042" customWidth="1"/>
    <col min="2296" max="2296" width="3.85546875" style="2042" customWidth="1"/>
    <col min="2297" max="2297" width="4.140625" style="2042" customWidth="1"/>
    <col min="2298" max="2299" width="4" style="2042" customWidth="1"/>
    <col min="2300" max="2300" width="16.28515625" style="2042" customWidth="1"/>
    <col min="2301" max="2301" width="5.5703125" style="2042" customWidth="1"/>
    <col min="2302" max="2302" width="8.5703125" style="2042" customWidth="1"/>
    <col min="2303" max="2303" width="5.28515625" style="2042" customWidth="1"/>
    <col min="2304" max="2304" width="4.28515625" style="2042" customWidth="1"/>
    <col min="2305" max="2305" width="4.140625" style="2042" customWidth="1"/>
    <col min="2306" max="2306" width="3" style="2042" customWidth="1"/>
    <col min="2307" max="2307" width="4.5703125" style="2042" customWidth="1"/>
    <col min="2308" max="2308" width="4.28515625" style="2042" customWidth="1"/>
    <col min="2309" max="2309" width="4" style="2042" customWidth="1"/>
    <col min="2310" max="2310" width="3" style="2042" customWidth="1"/>
    <col min="2311" max="2311" width="3.85546875" style="2042" customWidth="1"/>
    <col min="2312" max="2312" width="4.28515625" style="2042" customWidth="1"/>
    <col min="2313" max="2313" width="3.28515625" style="2042" customWidth="1"/>
    <col min="2314" max="2314" width="4.85546875" style="2042" customWidth="1"/>
    <col min="2315" max="2315" width="10.5703125" style="2042" customWidth="1"/>
    <col min="2316" max="2316" width="7" style="2042" customWidth="1"/>
    <col min="2317" max="2317" width="8" style="2042" customWidth="1"/>
    <col min="2318" max="2320" width="7.5703125" style="2042" customWidth="1"/>
    <col min="2321" max="2321" width="7" style="2042" customWidth="1"/>
    <col min="2322" max="2547" width="9.140625" style="2042"/>
    <col min="2548" max="2548" width="4.28515625" style="2042" customWidth="1"/>
    <col min="2549" max="2549" width="20.5703125" style="2042" customWidth="1"/>
    <col min="2550" max="2550" width="12.28515625" style="2042" customWidth="1"/>
    <col min="2551" max="2551" width="12.5703125" style="2042" customWidth="1"/>
    <col min="2552" max="2552" width="3.85546875" style="2042" customWidth="1"/>
    <col min="2553" max="2553" width="4.140625" style="2042" customWidth="1"/>
    <col min="2554" max="2555" width="4" style="2042" customWidth="1"/>
    <col min="2556" max="2556" width="16.28515625" style="2042" customWidth="1"/>
    <col min="2557" max="2557" width="5.5703125" style="2042" customWidth="1"/>
    <col min="2558" max="2558" width="8.5703125" style="2042" customWidth="1"/>
    <col min="2559" max="2559" width="5.28515625" style="2042" customWidth="1"/>
    <col min="2560" max="2560" width="4.28515625" style="2042" customWidth="1"/>
    <col min="2561" max="2561" width="4.140625" style="2042" customWidth="1"/>
    <col min="2562" max="2562" width="3" style="2042" customWidth="1"/>
    <col min="2563" max="2563" width="4.5703125" style="2042" customWidth="1"/>
    <col min="2564" max="2564" width="4.28515625" style="2042" customWidth="1"/>
    <col min="2565" max="2565" width="4" style="2042" customWidth="1"/>
    <col min="2566" max="2566" width="3" style="2042" customWidth="1"/>
    <col min="2567" max="2567" width="3.85546875" style="2042" customWidth="1"/>
    <col min="2568" max="2568" width="4.28515625" style="2042" customWidth="1"/>
    <col min="2569" max="2569" width="3.28515625" style="2042" customWidth="1"/>
    <col min="2570" max="2570" width="4.85546875" style="2042" customWidth="1"/>
    <col min="2571" max="2571" width="10.5703125" style="2042" customWidth="1"/>
    <col min="2572" max="2572" width="7" style="2042" customWidth="1"/>
    <col min="2573" max="2573" width="8" style="2042" customWidth="1"/>
    <col min="2574" max="2576" width="7.5703125" style="2042" customWidth="1"/>
    <col min="2577" max="2577" width="7" style="2042" customWidth="1"/>
    <col min="2578" max="2803" width="9.140625" style="2042"/>
    <col min="2804" max="2804" width="4.28515625" style="2042" customWidth="1"/>
    <col min="2805" max="2805" width="20.5703125" style="2042" customWidth="1"/>
    <col min="2806" max="2806" width="12.28515625" style="2042" customWidth="1"/>
    <col min="2807" max="2807" width="12.5703125" style="2042" customWidth="1"/>
    <col min="2808" max="2808" width="3.85546875" style="2042" customWidth="1"/>
    <col min="2809" max="2809" width="4.140625" style="2042" customWidth="1"/>
    <col min="2810" max="2811" width="4" style="2042" customWidth="1"/>
    <col min="2812" max="2812" width="16.28515625" style="2042" customWidth="1"/>
    <col min="2813" max="2813" width="5.5703125" style="2042" customWidth="1"/>
    <col min="2814" max="2814" width="8.5703125" style="2042" customWidth="1"/>
    <col min="2815" max="2815" width="5.28515625" style="2042" customWidth="1"/>
    <col min="2816" max="2816" width="4.28515625" style="2042" customWidth="1"/>
    <col min="2817" max="2817" width="4.140625" style="2042" customWidth="1"/>
    <col min="2818" max="2818" width="3" style="2042" customWidth="1"/>
    <col min="2819" max="2819" width="4.5703125" style="2042" customWidth="1"/>
    <col min="2820" max="2820" width="4.28515625" style="2042" customWidth="1"/>
    <col min="2821" max="2821" width="4" style="2042" customWidth="1"/>
    <col min="2822" max="2822" width="3" style="2042" customWidth="1"/>
    <col min="2823" max="2823" width="3.85546875" style="2042" customWidth="1"/>
    <col min="2824" max="2824" width="4.28515625" style="2042" customWidth="1"/>
    <col min="2825" max="2825" width="3.28515625" style="2042" customWidth="1"/>
    <col min="2826" max="2826" width="4.85546875" style="2042" customWidth="1"/>
    <col min="2827" max="2827" width="10.5703125" style="2042" customWidth="1"/>
    <col min="2828" max="2828" width="7" style="2042" customWidth="1"/>
    <col min="2829" max="2829" width="8" style="2042" customWidth="1"/>
    <col min="2830" max="2832" width="7.5703125" style="2042" customWidth="1"/>
    <col min="2833" max="2833" width="7" style="2042" customWidth="1"/>
    <col min="2834" max="3059" width="9.140625" style="2042"/>
    <col min="3060" max="3060" width="4.28515625" style="2042" customWidth="1"/>
    <col min="3061" max="3061" width="20.5703125" style="2042" customWidth="1"/>
    <col min="3062" max="3062" width="12.28515625" style="2042" customWidth="1"/>
    <col min="3063" max="3063" width="12.5703125" style="2042" customWidth="1"/>
    <col min="3064" max="3064" width="3.85546875" style="2042" customWidth="1"/>
    <col min="3065" max="3065" width="4.140625" style="2042" customWidth="1"/>
    <col min="3066" max="3067" width="4" style="2042" customWidth="1"/>
    <col min="3068" max="3068" width="16.28515625" style="2042" customWidth="1"/>
    <col min="3069" max="3069" width="5.5703125" style="2042" customWidth="1"/>
    <col min="3070" max="3070" width="8.5703125" style="2042" customWidth="1"/>
    <col min="3071" max="3071" width="5.28515625" style="2042" customWidth="1"/>
    <col min="3072" max="3072" width="4.28515625" style="2042" customWidth="1"/>
    <col min="3073" max="3073" width="4.140625" style="2042" customWidth="1"/>
    <col min="3074" max="3074" width="3" style="2042" customWidth="1"/>
    <col min="3075" max="3075" width="4.5703125" style="2042" customWidth="1"/>
    <col min="3076" max="3076" width="4.28515625" style="2042" customWidth="1"/>
    <col min="3077" max="3077" width="4" style="2042" customWidth="1"/>
    <col min="3078" max="3078" width="3" style="2042" customWidth="1"/>
    <col min="3079" max="3079" width="3.85546875" style="2042" customWidth="1"/>
    <col min="3080" max="3080" width="4.28515625" style="2042" customWidth="1"/>
    <col min="3081" max="3081" width="3.28515625" style="2042" customWidth="1"/>
    <col min="3082" max="3082" width="4.85546875" style="2042" customWidth="1"/>
    <col min="3083" max="3083" width="10.5703125" style="2042" customWidth="1"/>
    <col min="3084" max="3084" width="7" style="2042" customWidth="1"/>
    <col min="3085" max="3085" width="8" style="2042" customWidth="1"/>
    <col min="3086" max="3088" width="7.5703125" style="2042" customWidth="1"/>
    <col min="3089" max="3089" width="7" style="2042" customWidth="1"/>
    <col min="3090" max="3315" width="9.140625" style="2042"/>
    <col min="3316" max="3316" width="4.28515625" style="2042" customWidth="1"/>
    <col min="3317" max="3317" width="20.5703125" style="2042" customWidth="1"/>
    <col min="3318" max="3318" width="12.28515625" style="2042" customWidth="1"/>
    <col min="3319" max="3319" width="12.5703125" style="2042" customWidth="1"/>
    <col min="3320" max="3320" width="3.85546875" style="2042" customWidth="1"/>
    <col min="3321" max="3321" width="4.140625" style="2042" customWidth="1"/>
    <col min="3322" max="3323" width="4" style="2042" customWidth="1"/>
    <col min="3324" max="3324" width="16.28515625" style="2042" customWidth="1"/>
    <col min="3325" max="3325" width="5.5703125" style="2042" customWidth="1"/>
    <col min="3326" max="3326" width="8.5703125" style="2042" customWidth="1"/>
    <col min="3327" max="3327" width="5.28515625" style="2042" customWidth="1"/>
    <col min="3328" max="3328" width="4.28515625" style="2042" customWidth="1"/>
    <col min="3329" max="3329" width="4.140625" style="2042" customWidth="1"/>
    <col min="3330" max="3330" width="3" style="2042" customWidth="1"/>
    <col min="3331" max="3331" width="4.5703125" style="2042" customWidth="1"/>
    <col min="3332" max="3332" width="4.28515625" style="2042" customWidth="1"/>
    <col min="3333" max="3333" width="4" style="2042" customWidth="1"/>
    <col min="3334" max="3334" width="3" style="2042" customWidth="1"/>
    <col min="3335" max="3335" width="3.85546875" style="2042" customWidth="1"/>
    <col min="3336" max="3336" width="4.28515625" style="2042" customWidth="1"/>
    <col min="3337" max="3337" width="3.28515625" style="2042" customWidth="1"/>
    <col min="3338" max="3338" width="4.85546875" style="2042" customWidth="1"/>
    <col min="3339" max="3339" width="10.5703125" style="2042" customWidth="1"/>
    <col min="3340" max="3340" width="7" style="2042" customWidth="1"/>
    <col min="3341" max="3341" width="8" style="2042" customWidth="1"/>
    <col min="3342" max="3344" width="7.5703125" style="2042" customWidth="1"/>
    <col min="3345" max="3345" width="7" style="2042" customWidth="1"/>
    <col min="3346" max="3571" width="9.140625" style="2042"/>
    <col min="3572" max="3572" width="4.28515625" style="2042" customWidth="1"/>
    <col min="3573" max="3573" width="20.5703125" style="2042" customWidth="1"/>
    <col min="3574" max="3574" width="12.28515625" style="2042" customWidth="1"/>
    <col min="3575" max="3575" width="12.5703125" style="2042" customWidth="1"/>
    <col min="3576" max="3576" width="3.85546875" style="2042" customWidth="1"/>
    <col min="3577" max="3577" width="4.140625" style="2042" customWidth="1"/>
    <col min="3578" max="3579" width="4" style="2042" customWidth="1"/>
    <col min="3580" max="3580" width="16.28515625" style="2042" customWidth="1"/>
    <col min="3581" max="3581" width="5.5703125" style="2042" customWidth="1"/>
    <col min="3582" max="3582" width="8.5703125" style="2042" customWidth="1"/>
    <col min="3583" max="3583" width="5.28515625" style="2042" customWidth="1"/>
    <col min="3584" max="3584" width="4.28515625" style="2042" customWidth="1"/>
    <col min="3585" max="3585" width="4.140625" style="2042" customWidth="1"/>
    <col min="3586" max="3586" width="3" style="2042" customWidth="1"/>
    <col min="3587" max="3587" width="4.5703125" style="2042" customWidth="1"/>
    <col min="3588" max="3588" width="4.28515625" style="2042" customWidth="1"/>
    <col min="3589" max="3589" width="4" style="2042" customWidth="1"/>
    <col min="3590" max="3590" width="3" style="2042" customWidth="1"/>
    <col min="3591" max="3591" width="3.85546875" style="2042" customWidth="1"/>
    <col min="3592" max="3592" width="4.28515625" style="2042" customWidth="1"/>
    <col min="3593" max="3593" width="3.28515625" style="2042" customWidth="1"/>
    <col min="3594" max="3594" width="4.85546875" style="2042" customWidth="1"/>
    <col min="3595" max="3595" width="10.5703125" style="2042" customWidth="1"/>
    <col min="3596" max="3596" width="7" style="2042" customWidth="1"/>
    <col min="3597" max="3597" width="8" style="2042" customWidth="1"/>
    <col min="3598" max="3600" width="7.5703125" style="2042" customWidth="1"/>
    <col min="3601" max="3601" width="7" style="2042" customWidth="1"/>
    <col min="3602" max="3827" width="9.140625" style="2042"/>
    <col min="3828" max="3828" width="4.28515625" style="2042" customWidth="1"/>
    <col min="3829" max="3829" width="20.5703125" style="2042" customWidth="1"/>
    <col min="3830" max="3830" width="12.28515625" style="2042" customWidth="1"/>
    <col min="3831" max="3831" width="12.5703125" style="2042" customWidth="1"/>
    <col min="3832" max="3832" width="3.85546875" style="2042" customWidth="1"/>
    <col min="3833" max="3833" width="4.140625" style="2042" customWidth="1"/>
    <col min="3834" max="3835" width="4" style="2042" customWidth="1"/>
    <col min="3836" max="3836" width="16.28515625" style="2042" customWidth="1"/>
    <col min="3837" max="3837" width="5.5703125" style="2042" customWidth="1"/>
    <col min="3838" max="3838" width="8.5703125" style="2042" customWidth="1"/>
    <col min="3839" max="3839" width="5.28515625" style="2042" customWidth="1"/>
    <col min="3840" max="3840" width="4.28515625" style="2042" customWidth="1"/>
    <col min="3841" max="3841" width="4.140625" style="2042" customWidth="1"/>
    <col min="3842" max="3842" width="3" style="2042" customWidth="1"/>
    <col min="3843" max="3843" width="4.5703125" style="2042" customWidth="1"/>
    <col min="3844" max="3844" width="4.28515625" style="2042" customWidth="1"/>
    <col min="3845" max="3845" width="4" style="2042" customWidth="1"/>
    <col min="3846" max="3846" width="3" style="2042" customWidth="1"/>
    <col min="3847" max="3847" width="3.85546875" style="2042" customWidth="1"/>
    <col min="3848" max="3848" width="4.28515625" style="2042" customWidth="1"/>
    <col min="3849" max="3849" width="3.28515625" style="2042" customWidth="1"/>
    <col min="3850" max="3850" width="4.85546875" style="2042" customWidth="1"/>
    <col min="3851" max="3851" width="10.5703125" style="2042" customWidth="1"/>
    <col min="3852" max="3852" width="7" style="2042" customWidth="1"/>
    <col min="3853" max="3853" width="8" style="2042" customWidth="1"/>
    <col min="3854" max="3856" width="7.5703125" style="2042" customWidth="1"/>
    <col min="3857" max="3857" width="7" style="2042" customWidth="1"/>
    <col min="3858" max="4083" width="9.140625" style="2042"/>
    <col min="4084" max="4084" width="4.28515625" style="2042" customWidth="1"/>
    <col min="4085" max="4085" width="20.5703125" style="2042" customWidth="1"/>
    <col min="4086" max="4086" width="12.28515625" style="2042" customWidth="1"/>
    <col min="4087" max="4087" width="12.5703125" style="2042" customWidth="1"/>
    <col min="4088" max="4088" width="3.85546875" style="2042" customWidth="1"/>
    <col min="4089" max="4089" width="4.140625" style="2042" customWidth="1"/>
    <col min="4090" max="4091" width="4" style="2042" customWidth="1"/>
    <col min="4092" max="4092" width="16.28515625" style="2042" customWidth="1"/>
    <col min="4093" max="4093" width="5.5703125" style="2042" customWidth="1"/>
    <col min="4094" max="4094" width="8.5703125" style="2042" customWidth="1"/>
    <col min="4095" max="4095" width="5.28515625" style="2042" customWidth="1"/>
    <col min="4096" max="4096" width="4.28515625" style="2042" customWidth="1"/>
    <col min="4097" max="4097" width="4.140625" style="2042" customWidth="1"/>
    <col min="4098" max="4098" width="3" style="2042" customWidth="1"/>
    <col min="4099" max="4099" width="4.5703125" style="2042" customWidth="1"/>
    <col min="4100" max="4100" width="4.28515625" style="2042" customWidth="1"/>
    <col min="4101" max="4101" width="4" style="2042" customWidth="1"/>
    <col min="4102" max="4102" width="3" style="2042" customWidth="1"/>
    <col min="4103" max="4103" width="3.85546875" style="2042" customWidth="1"/>
    <col min="4104" max="4104" width="4.28515625" style="2042" customWidth="1"/>
    <col min="4105" max="4105" width="3.28515625" style="2042" customWidth="1"/>
    <col min="4106" max="4106" width="4.85546875" style="2042" customWidth="1"/>
    <col min="4107" max="4107" width="10.5703125" style="2042" customWidth="1"/>
    <col min="4108" max="4108" width="7" style="2042" customWidth="1"/>
    <col min="4109" max="4109" width="8" style="2042" customWidth="1"/>
    <col min="4110" max="4112" width="7.5703125" style="2042" customWidth="1"/>
    <col min="4113" max="4113" width="7" style="2042" customWidth="1"/>
    <col min="4114" max="4339" width="9.140625" style="2042"/>
    <col min="4340" max="4340" width="4.28515625" style="2042" customWidth="1"/>
    <col min="4341" max="4341" width="20.5703125" style="2042" customWidth="1"/>
    <col min="4342" max="4342" width="12.28515625" style="2042" customWidth="1"/>
    <col min="4343" max="4343" width="12.5703125" style="2042" customWidth="1"/>
    <col min="4344" max="4344" width="3.85546875" style="2042" customWidth="1"/>
    <col min="4345" max="4345" width="4.140625" style="2042" customWidth="1"/>
    <col min="4346" max="4347" width="4" style="2042" customWidth="1"/>
    <col min="4348" max="4348" width="16.28515625" style="2042" customWidth="1"/>
    <col min="4349" max="4349" width="5.5703125" style="2042" customWidth="1"/>
    <col min="4350" max="4350" width="8.5703125" style="2042" customWidth="1"/>
    <col min="4351" max="4351" width="5.28515625" style="2042" customWidth="1"/>
    <col min="4352" max="4352" width="4.28515625" style="2042" customWidth="1"/>
    <col min="4353" max="4353" width="4.140625" style="2042" customWidth="1"/>
    <col min="4354" max="4354" width="3" style="2042" customWidth="1"/>
    <col min="4355" max="4355" width="4.5703125" style="2042" customWidth="1"/>
    <col min="4356" max="4356" width="4.28515625" style="2042" customWidth="1"/>
    <col min="4357" max="4357" width="4" style="2042" customWidth="1"/>
    <col min="4358" max="4358" width="3" style="2042" customWidth="1"/>
    <col min="4359" max="4359" width="3.85546875" style="2042" customWidth="1"/>
    <col min="4360" max="4360" width="4.28515625" style="2042" customWidth="1"/>
    <col min="4361" max="4361" width="3.28515625" style="2042" customWidth="1"/>
    <col min="4362" max="4362" width="4.85546875" style="2042" customWidth="1"/>
    <col min="4363" max="4363" width="10.5703125" style="2042" customWidth="1"/>
    <col min="4364" max="4364" width="7" style="2042" customWidth="1"/>
    <col min="4365" max="4365" width="8" style="2042" customWidth="1"/>
    <col min="4366" max="4368" width="7.5703125" style="2042" customWidth="1"/>
    <col min="4369" max="4369" width="7" style="2042" customWidth="1"/>
    <col min="4370" max="4595" width="9.140625" style="2042"/>
    <col min="4596" max="4596" width="4.28515625" style="2042" customWidth="1"/>
    <col min="4597" max="4597" width="20.5703125" style="2042" customWidth="1"/>
    <col min="4598" max="4598" width="12.28515625" style="2042" customWidth="1"/>
    <col min="4599" max="4599" width="12.5703125" style="2042" customWidth="1"/>
    <col min="4600" max="4600" width="3.85546875" style="2042" customWidth="1"/>
    <col min="4601" max="4601" width="4.140625" style="2042" customWidth="1"/>
    <col min="4602" max="4603" width="4" style="2042" customWidth="1"/>
    <col min="4604" max="4604" width="16.28515625" style="2042" customWidth="1"/>
    <col min="4605" max="4605" width="5.5703125" style="2042" customWidth="1"/>
    <col min="4606" max="4606" width="8.5703125" style="2042" customWidth="1"/>
    <col min="4607" max="4607" width="5.28515625" style="2042" customWidth="1"/>
    <col min="4608" max="4608" width="4.28515625" style="2042" customWidth="1"/>
    <col min="4609" max="4609" width="4.140625" style="2042" customWidth="1"/>
    <col min="4610" max="4610" width="3" style="2042" customWidth="1"/>
    <col min="4611" max="4611" width="4.5703125" style="2042" customWidth="1"/>
    <col min="4612" max="4612" width="4.28515625" style="2042" customWidth="1"/>
    <col min="4613" max="4613" width="4" style="2042" customWidth="1"/>
    <col min="4614" max="4614" width="3" style="2042" customWidth="1"/>
    <col min="4615" max="4615" width="3.85546875" style="2042" customWidth="1"/>
    <col min="4616" max="4616" width="4.28515625" style="2042" customWidth="1"/>
    <col min="4617" max="4617" width="3.28515625" style="2042" customWidth="1"/>
    <col min="4618" max="4618" width="4.85546875" style="2042" customWidth="1"/>
    <col min="4619" max="4619" width="10.5703125" style="2042" customWidth="1"/>
    <col min="4620" max="4620" width="7" style="2042" customWidth="1"/>
    <col min="4621" max="4621" width="8" style="2042" customWidth="1"/>
    <col min="4622" max="4624" width="7.5703125" style="2042" customWidth="1"/>
    <col min="4625" max="4625" width="7" style="2042" customWidth="1"/>
    <col min="4626" max="4851" width="9.140625" style="2042"/>
    <col min="4852" max="4852" width="4.28515625" style="2042" customWidth="1"/>
    <col min="4853" max="4853" width="20.5703125" style="2042" customWidth="1"/>
    <col min="4854" max="4854" width="12.28515625" style="2042" customWidth="1"/>
    <col min="4855" max="4855" width="12.5703125" style="2042" customWidth="1"/>
    <col min="4856" max="4856" width="3.85546875" style="2042" customWidth="1"/>
    <col min="4857" max="4857" width="4.140625" style="2042" customWidth="1"/>
    <col min="4858" max="4859" width="4" style="2042" customWidth="1"/>
    <col min="4860" max="4860" width="16.28515625" style="2042" customWidth="1"/>
    <col min="4861" max="4861" width="5.5703125" style="2042" customWidth="1"/>
    <col min="4862" max="4862" width="8.5703125" style="2042" customWidth="1"/>
    <col min="4863" max="4863" width="5.28515625" style="2042" customWidth="1"/>
    <col min="4864" max="4864" width="4.28515625" style="2042" customWidth="1"/>
    <col min="4865" max="4865" width="4.140625" style="2042" customWidth="1"/>
    <col min="4866" max="4866" width="3" style="2042" customWidth="1"/>
    <col min="4867" max="4867" width="4.5703125" style="2042" customWidth="1"/>
    <col min="4868" max="4868" width="4.28515625" style="2042" customWidth="1"/>
    <col min="4869" max="4869" width="4" style="2042" customWidth="1"/>
    <col min="4870" max="4870" width="3" style="2042" customWidth="1"/>
    <col min="4871" max="4871" width="3.85546875" style="2042" customWidth="1"/>
    <col min="4872" max="4872" width="4.28515625" style="2042" customWidth="1"/>
    <col min="4873" max="4873" width="3.28515625" style="2042" customWidth="1"/>
    <col min="4874" max="4874" width="4.85546875" style="2042" customWidth="1"/>
    <col min="4875" max="4875" width="10.5703125" style="2042" customWidth="1"/>
    <col min="4876" max="4876" width="7" style="2042" customWidth="1"/>
    <col min="4877" max="4877" width="8" style="2042" customWidth="1"/>
    <col min="4878" max="4880" width="7.5703125" style="2042" customWidth="1"/>
    <col min="4881" max="4881" width="7" style="2042" customWidth="1"/>
    <col min="4882" max="5107" width="9.140625" style="2042"/>
    <col min="5108" max="5108" width="4.28515625" style="2042" customWidth="1"/>
    <col min="5109" max="5109" width="20.5703125" style="2042" customWidth="1"/>
    <col min="5110" max="5110" width="12.28515625" style="2042" customWidth="1"/>
    <col min="5111" max="5111" width="12.5703125" style="2042" customWidth="1"/>
    <col min="5112" max="5112" width="3.85546875" style="2042" customWidth="1"/>
    <col min="5113" max="5113" width="4.140625" style="2042" customWidth="1"/>
    <col min="5114" max="5115" width="4" style="2042" customWidth="1"/>
    <col min="5116" max="5116" width="16.28515625" style="2042" customWidth="1"/>
    <col min="5117" max="5117" width="5.5703125" style="2042" customWidth="1"/>
    <col min="5118" max="5118" width="8.5703125" style="2042" customWidth="1"/>
    <col min="5119" max="5119" width="5.28515625" style="2042" customWidth="1"/>
    <col min="5120" max="5120" width="4.28515625" style="2042" customWidth="1"/>
    <col min="5121" max="5121" width="4.140625" style="2042" customWidth="1"/>
    <col min="5122" max="5122" width="3" style="2042" customWidth="1"/>
    <col min="5123" max="5123" width="4.5703125" style="2042" customWidth="1"/>
    <col min="5124" max="5124" width="4.28515625" style="2042" customWidth="1"/>
    <col min="5125" max="5125" width="4" style="2042" customWidth="1"/>
    <col min="5126" max="5126" width="3" style="2042" customWidth="1"/>
    <col min="5127" max="5127" width="3.85546875" style="2042" customWidth="1"/>
    <col min="5128" max="5128" width="4.28515625" style="2042" customWidth="1"/>
    <col min="5129" max="5129" width="3.28515625" style="2042" customWidth="1"/>
    <col min="5130" max="5130" width="4.85546875" style="2042" customWidth="1"/>
    <col min="5131" max="5131" width="10.5703125" style="2042" customWidth="1"/>
    <col min="5132" max="5132" width="7" style="2042" customWidth="1"/>
    <col min="5133" max="5133" width="8" style="2042" customWidth="1"/>
    <col min="5134" max="5136" width="7.5703125" style="2042" customWidth="1"/>
    <col min="5137" max="5137" width="7" style="2042" customWidth="1"/>
    <col min="5138" max="5363" width="9.140625" style="2042"/>
    <col min="5364" max="5364" width="4.28515625" style="2042" customWidth="1"/>
    <col min="5365" max="5365" width="20.5703125" style="2042" customWidth="1"/>
    <col min="5366" max="5366" width="12.28515625" style="2042" customWidth="1"/>
    <col min="5367" max="5367" width="12.5703125" style="2042" customWidth="1"/>
    <col min="5368" max="5368" width="3.85546875" style="2042" customWidth="1"/>
    <col min="5369" max="5369" width="4.140625" style="2042" customWidth="1"/>
    <col min="5370" max="5371" width="4" style="2042" customWidth="1"/>
    <col min="5372" max="5372" width="16.28515625" style="2042" customWidth="1"/>
    <col min="5373" max="5373" width="5.5703125" style="2042" customWidth="1"/>
    <col min="5374" max="5374" width="8.5703125" style="2042" customWidth="1"/>
    <col min="5375" max="5375" width="5.28515625" style="2042" customWidth="1"/>
    <col min="5376" max="5376" width="4.28515625" style="2042" customWidth="1"/>
    <col min="5377" max="5377" width="4.140625" style="2042" customWidth="1"/>
    <col min="5378" max="5378" width="3" style="2042" customWidth="1"/>
    <col min="5379" max="5379" width="4.5703125" style="2042" customWidth="1"/>
    <col min="5380" max="5380" width="4.28515625" style="2042" customWidth="1"/>
    <col min="5381" max="5381" width="4" style="2042" customWidth="1"/>
    <col min="5382" max="5382" width="3" style="2042" customWidth="1"/>
    <col min="5383" max="5383" width="3.85546875" style="2042" customWidth="1"/>
    <col min="5384" max="5384" width="4.28515625" style="2042" customWidth="1"/>
    <col min="5385" max="5385" width="3.28515625" style="2042" customWidth="1"/>
    <col min="5386" max="5386" width="4.85546875" style="2042" customWidth="1"/>
    <col min="5387" max="5387" width="10.5703125" style="2042" customWidth="1"/>
    <col min="5388" max="5388" width="7" style="2042" customWidth="1"/>
    <col min="5389" max="5389" width="8" style="2042" customWidth="1"/>
    <col min="5390" max="5392" width="7.5703125" style="2042" customWidth="1"/>
    <col min="5393" max="5393" width="7" style="2042" customWidth="1"/>
    <col min="5394" max="5619" width="9.140625" style="2042"/>
    <col min="5620" max="5620" width="4.28515625" style="2042" customWidth="1"/>
    <col min="5621" max="5621" width="20.5703125" style="2042" customWidth="1"/>
    <col min="5622" max="5622" width="12.28515625" style="2042" customWidth="1"/>
    <col min="5623" max="5623" width="12.5703125" style="2042" customWidth="1"/>
    <col min="5624" max="5624" width="3.85546875" style="2042" customWidth="1"/>
    <col min="5625" max="5625" width="4.140625" style="2042" customWidth="1"/>
    <col min="5626" max="5627" width="4" style="2042" customWidth="1"/>
    <col min="5628" max="5628" width="16.28515625" style="2042" customWidth="1"/>
    <col min="5629" max="5629" width="5.5703125" style="2042" customWidth="1"/>
    <col min="5630" max="5630" width="8.5703125" style="2042" customWidth="1"/>
    <col min="5631" max="5631" width="5.28515625" style="2042" customWidth="1"/>
    <col min="5632" max="5632" width="4.28515625" style="2042" customWidth="1"/>
    <col min="5633" max="5633" width="4.140625" style="2042" customWidth="1"/>
    <col min="5634" max="5634" width="3" style="2042" customWidth="1"/>
    <col min="5635" max="5635" width="4.5703125" style="2042" customWidth="1"/>
    <col min="5636" max="5636" width="4.28515625" style="2042" customWidth="1"/>
    <col min="5637" max="5637" width="4" style="2042" customWidth="1"/>
    <col min="5638" max="5638" width="3" style="2042" customWidth="1"/>
    <col min="5639" max="5639" width="3.85546875" style="2042" customWidth="1"/>
    <col min="5640" max="5640" width="4.28515625" style="2042" customWidth="1"/>
    <col min="5641" max="5641" width="3.28515625" style="2042" customWidth="1"/>
    <col min="5642" max="5642" width="4.85546875" style="2042" customWidth="1"/>
    <col min="5643" max="5643" width="10.5703125" style="2042" customWidth="1"/>
    <col min="5644" max="5644" width="7" style="2042" customWidth="1"/>
    <col min="5645" max="5645" width="8" style="2042" customWidth="1"/>
    <col min="5646" max="5648" width="7.5703125" style="2042" customWidth="1"/>
    <col min="5649" max="5649" width="7" style="2042" customWidth="1"/>
    <col min="5650" max="5875" width="9.140625" style="2042"/>
    <col min="5876" max="5876" width="4.28515625" style="2042" customWidth="1"/>
    <col min="5877" max="5877" width="20.5703125" style="2042" customWidth="1"/>
    <col min="5878" max="5878" width="12.28515625" style="2042" customWidth="1"/>
    <col min="5879" max="5879" width="12.5703125" style="2042" customWidth="1"/>
    <col min="5880" max="5880" width="3.85546875" style="2042" customWidth="1"/>
    <col min="5881" max="5881" width="4.140625" style="2042" customWidth="1"/>
    <col min="5882" max="5883" width="4" style="2042" customWidth="1"/>
    <col min="5884" max="5884" width="16.28515625" style="2042" customWidth="1"/>
    <col min="5885" max="5885" width="5.5703125" style="2042" customWidth="1"/>
    <col min="5886" max="5886" width="8.5703125" style="2042" customWidth="1"/>
    <col min="5887" max="5887" width="5.28515625" style="2042" customWidth="1"/>
    <col min="5888" max="5888" width="4.28515625" style="2042" customWidth="1"/>
    <col min="5889" max="5889" width="4.140625" style="2042" customWidth="1"/>
    <col min="5890" max="5890" width="3" style="2042" customWidth="1"/>
    <col min="5891" max="5891" width="4.5703125" style="2042" customWidth="1"/>
    <col min="5892" max="5892" width="4.28515625" style="2042" customWidth="1"/>
    <col min="5893" max="5893" width="4" style="2042" customWidth="1"/>
    <col min="5894" max="5894" width="3" style="2042" customWidth="1"/>
    <col min="5895" max="5895" width="3.85546875" style="2042" customWidth="1"/>
    <col min="5896" max="5896" width="4.28515625" style="2042" customWidth="1"/>
    <col min="5897" max="5897" width="3.28515625" style="2042" customWidth="1"/>
    <col min="5898" max="5898" width="4.85546875" style="2042" customWidth="1"/>
    <col min="5899" max="5899" width="10.5703125" style="2042" customWidth="1"/>
    <col min="5900" max="5900" width="7" style="2042" customWidth="1"/>
    <col min="5901" max="5901" width="8" style="2042" customWidth="1"/>
    <col min="5902" max="5904" width="7.5703125" style="2042" customWidth="1"/>
    <col min="5905" max="5905" width="7" style="2042" customWidth="1"/>
    <col min="5906" max="6131" width="9.140625" style="2042"/>
    <col min="6132" max="6132" width="4.28515625" style="2042" customWidth="1"/>
    <col min="6133" max="6133" width="20.5703125" style="2042" customWidth="1"/>
    <col min="6134" max="6134" width="12.28515625" style="2042" customWidth="1"/>
    <col min="6135" max="6135" width="12.5703125" style="2042" customWidth="1"/>
    <col min="6136" max="6136" width="3.85546875" style="2042" customWidth="1"/>
    <col min="6137" max="6137" width="4.140625" style="2042" customWidth="1"/>
    <col min="6138" max="6139" width="4" style="2042" customWidth="1"/>
    <col min="6140" max="6140" width="16.28515625" style="2042" customWidth="1"/>
    <col min="6141" max="6141" width="5.5703125" style="2042" customWidth="1"/>
    <col min="6142" max="6142" width="8.5703125" style="2042" customWidth="1"/>
    <col min="6143" max="6143" width="5.28515625" style="2042" customWidth="1"/>
    <col min="6144" max="6144" width="4.28515625" style="2042" customWidth="1"/>
    <col min="6145" max="6145" width="4.140625" style="2042" customWidth="1"/>
    <col min="6146" max="6146" width="3" style="2042" customWidth="1"/>
    <col min="6147" max="6147" width="4.5703125" style="2042" customWidth="1"/>
    <col min="6148" max="6148" width="4.28515625" style="2042" customWidth="1"/>
    <col min="6149" max="6149" width="4" style="2042" customWidth="1"/>
    <col min="6150" max="6150" width="3" style="2042" customWidth="1"/>
    <col min="6151" max="6151" width="3.85546875" style="2042" customWidth="1"/>
    <col min="6152" max="6152" width="4.28515625" style="2042" customWidth="1"/>
    <col min="6153" max="6153" width="3.28515625" style="2042" customWidth="1"/>
    <col min="6154" max="6154" width="4.85546875" style="2042" customWidth="1"/>
    <col min="6155" max="6155" width="10.5703125" style="2042" customWidth="1"/>
    <col min="6156" max="6156" width="7" style="2042" customWidth="1"/>
    <col min="6157" max="6157" width="8" style="2042" customWidth="1"/>
    <col min="6158" max="6160" width="7.5703125" style="2042" customWidth="1"/>
    <col min="6161" max="6161" width="7" style="2042" customWidth="1"/>
    <col min="6162" max="6387" width="9.140625" style="2042"/>
    <col min="6388" max="6388" width="4.28515625" style="2042" customWidth="1"/>
    <col min="6389" max="6389" width="20.5703125" style="2042" customWidth="1"/>
    <col min="6390" max="6390" width="12.28515625" style="2042" customWidth="1"/>
    <col min="6391" max="6391" width="12.5703125" style="2042" customWidth="1"/>
    <col min="6392" max="6392" width="3.85546875" style="2042" customWidth="1"/>
    <col min="6393" max="6393" width="4.140625" style="2042" customWidth="1"/>
    <col min="6394" max="6395" width="4" style="2042" customWidth="1"/>
    <col min="6396" max="6396" width="16.28515625" style="2042" customWidth="1"/>
    <col min="6397" max="6397" width="5.5703125" style="2042" customWidth="1"/>
    <col min="6398" max="6398" width="8.5703125" style="2042" customWidth="1"/>
    <col min="6399" max="6399" width="5.28515625" style="2042" customWidth="1"/>
    <col min="6400" max="6400" width="4.28515625" style="2042" customWidth="1"/>
    <col min="6401" max="6401" width="4.140625" style="2042" customWidth="1"/>
    <col min="6402" max="6402" width="3" style="2042" customWidth="1"/>
    <col min="6403" max="6403" width="4.5703125" style="2042" customWidth="1"/>
    <col min="6404" max="6404" width="4.28515625" style="2042" customWidth="1"/>
    <col min="6405" max="6405" width="4" style="2042" customWidth="1"/>
    <col min="6406" max="6406" width="3" style="2042" customWidth="1"/>
    <col min="6407" max="6407" width="3.85546875" style="2042" customWidth="1"/>
    <col min="6408" max="6408" width="4.28515625" style="2042" customWidth="1"/>
    <col min="6409" max="6409" width="3.28515625" style="2042" customWidth="1"/>
    <col min="6410" max="6410" width="4.85546875" style="2042" customWidth="1"/>
    <col min="6411" max="6411" width="10.5703125" style="2042" customWidth="1"/>
    <col min="6412" max="6412" width="7" style="2042" customWidth="1"/>
    <col min="6413" max="6413" width="8" style="2042" customWidth="1"/>
    <col min="6414" max="6416" width="7.5703125" style="2042" customWidth="1"/>
    <col min="6417" max="6417" width="7" style="2042" customWidth="1"/>
    <col min="6418" max="6643" width="9.140625" style="2042"/>
    <col min="6644" max="6644" width="4.28515625" style="2042" customWidth="1"/>
    <col min="6645" max="6645" width="20.5703125" style="2042" customWidth="1"/>
    <col min="6646" max="6646" width="12.28515625" style="2042" customWidth="1"/>
    <col min="6647" max="6647" width="12.5703125" style="2042" customWidth="1"/>
    <col min="6648" max="6648" width="3.85546875" style="2042" customWidth="1"/>
    <col min="6649" max="6649" width="4.140625" style="2042" customWidth="1"/>
    <col min="6650" max="6651" width="4" style="2042" customWidth="1"/>
    <col min="6652" max="6652" width="16.28515625" style="2042" customWidth="1"/>
    <col min="6653" max="6653" width="5.5703125" style="2042" customWidth="1"/>
    <col min="6654" max="6654" width="8.5703125" style="2042" customWidth="1"/>
    <col min="6655" max="6655" width="5.28515625" style="2042" customWidth="1"/>
    <col min="6656" max="6656" width="4.28515625" style="2042" customWidth="1"/>
    <col min="6657" max="6657" width="4.140625" style="2042" customWidth="1"/>
    <col min="6658" max="6658" width="3" style="2042" customWidth="1"/>
    <col min="6659" max="6659" width="4.5703125" style="2042" customWidth="1"/>
    <col min="6660" max="6660" width="4.28515625" style="2042" customWidth="1"/>
    <col min="6661" max="6661" width="4" style="2042" customWidth="1"/>
    <col min="6662" max="6662" width="3" style="2042" customWidth="1"/>
    <col min="6663" max="6663" width="3.85546875" style="2042" customWidth="1"/>
    <col min="6664" max="6664" width="4.28515625" style="2042" customWidth="1"/>
    <col min="6665" max="6665" width="3.28515625" style="2042" customWidth="1"/>
    <col min="6666" max="6666" width="4.85546875" style="2042" customWidth="1"/>
    <col min="6667" max="6667" width="10.5703125" style="2042" customWidth="1"/>
    <col min="6668" max="6668" width="7" style="2042" customWidth="1"/>
    <col min="6669" max="6669" width="8" style="2042" customWidth="1"/>
    <col min="6670" max="6672" width="7.5703125" style="2042" customWidth="1"/>
    <col min="6673" max="6673" width="7" style="2042" customWidth="1"/>
    <col min="6674" max="6899" width="9.140625" style="2042"/>
    <col min="6900" max="6900" width="4.28515625" style="2042" customWidth="1"/>
    <col min="6901" max="6901" width="20.5703125" style="2042" customWidth="1"/>
    <col min="6902" max="6902" width="12.28515625" style="2042" customWidth="1"/>
    <col min="6903" max="6903" width="12.5703125" style="2042" customWidth="1"/>
    <col min="6904" max="6904" width="3.85546875" style="2042" customWidth="1"/>
    <col min="6905" max="6905" width="4.140625" style="2042" customWidth="1"/>
    <col min="6906" max="6907" width="4" style="2042" customWidth="1"/>
    <col min="6908" max="6908" width="16.28515625" style="2042" customWidth="1"/>
    <col min="6909" max="6909" width="5.5703125" style="2042" customWidth="1"/>
    <col min="6910" max="6910" width="8.5703125" style="2042" customWidth="1"/>
    <col min="6911" max="6911" width="5.28515625" style="2042" customWidth="1"/>
    <col min="6912" max="6912" width="4.28515625" style="2042" customWidth="1"/>
    <col min="6913" max="6913" width="4.140625" style="2042" customWidth="1"/>
    <col min="6914" max="6914" width="3" style="2042" customWidth="1"/>
    <col min="6915" max="6915" width="4.5703125" style="2042" customWidth="1"/>
    <col min="6916" max="6916" width="4.28515625" style="2042" customWidth="1"/>
    <col min="6917" max="6917" width="4" style="2042" customWidth="1"/>
    <col min="6918" max="6918" width="3" style="2042" customWidth="1"/>
    <col min="6919" max="6919" width="3.85546875" style="2042" customWidth="1"/>
    <col min="6920" max="6920" width="4.28515625" style="2042" customWidth="1"/>
    <col min="6921" max="6921" width="3.28515625" style="2042" customWidth="1"/>
    <col min="6922" max="6922" width="4.85546875" style="2042" customWidth="1"/>
    <col min="6923" max="6923" width="10.5703125" style="2042" customWidth="1"/>
    <col min="6924" max="6924" width="7" style="2042" customWidth="1"/>
    <col min="6925" max="6925" width="8" style="2042" customWidth="1"/>
    <col min="6926" max="6928" width="7.5703125" style="2042" customWidth="1"/>
    <col min="6929" max="6929" width="7" style="2042" customWidth="1"/>
    <col min="6930" max="7155" width="9.140625" style="2042"/>
    <col min="7156" max="7156" width="4.28515625" style="2042" customWidth="1"/>
    <col min="7157" max="7157" width="20.5703125" style="2042" customWidth="1"/>
    <col min="7158" max="7158" width="12.28515625" style="2042" customWidth="1"/>
    <col min="7159" max="7159" width="12.5703125" style="2042" customWidth="1"/>
    <col min="7160" max="7160" width="3.85546875" style="2042" customWidth="1"/>
    <col min="7161" max="7161" width="4.140625" style="2042" customWidth="1"/>
    <col min="7162" max="7163" width="4" style="2042" customWidth="1"/>
    <col min="7164" max="7164" width="16.28515625" style="2042" customWidth="1"/>
    <col min="7165" max="7165" width="5.5703125" style="2042" customWidth="1"/>
    <col min="7166" max="7166" width="8.5703125" style="2042" customWidth="1"/>
    <col min="7167" max="7167" width="5.28515625" style="2042" customWidth="1"/>
    <col min="7168" max="7168" width="4.28515625" style="2042" customWidth="1"/>
    <col min="7169" max="7169" width="4.140625" style="2042" customWidth="1"/>
    <col min="7170" max="7170" width="3" style="2042" customWidth="1"/>
    <col min="7171" max="7171" width="4.5703125" style="2042" customWidth="1"/>
    <col min="7172" max="7172" width="4.28515625" style="2042" customWidth="1"/>
    <col min="7173" max="7173" width="4" style="2042" customWidth="1"/>
    <col min="7174" max="7174" width="3" style="2042" customWidth="1"/>
    <col min="7175" max="7175" width="3.85546875" style="2042" customWidth="1"/>
    <col min="7176" max="7176" width="4.28515625" style="2042" customWidth="1"/>
    <col min="7177" max="7177" width="3.28515625" style="2042" customWidth="1"/>
    <col min="7178" max="7178" width="4.85546875" style="2042" customWidth="1"/>
    <col min="7179" max="7179" width="10.5703125" style="2042" customWidth="1"/>
    <col min="7180" max="7180" width="7" style="2042" customWidth="1"/>
    <col min="7181" max="7181" width="8" style="2042" customWidth="1"/>
    <col min="7182" max="7184" width="7.5703125" style="2042" customWidth="1"/>
    <col min="7185" max="7185" width="7" style="2042" customWidth="1"/>
    <col min="7186" max="7411" width="9.140625" style="2042"/>
    <col min="7412" max="7412" width="4.28515625" style="2042" customWidth="1"/>
    <col min="7413" max="7413" width="20.5703125" style="2042" customWidth="1"/>
    <col min="7414" max="7414" width="12.28515625" style="2042" customWidth="1"/>
    <col min="7415" max="7415" width="12.5703125" style="2042" customWidth="1"/>
    <col min="7416" max="7416" width="3.85546875" style="2042" customWidth="1"/>
    <col min="7417" max="7417" width="4.140625" style="2042" customWidth="1"/>
    <col min="7418" max="7419" width="4" style="2042" customWidth="1"/>
    <col min="7420" max="7420" width="16.28515625" style="2042" customWidth="1"/>
    <col min="7421" max="7421" width="5.5703125" style="2042" customWidth="1"/>
    <col min="7422" max="7422" width="8.5703125" style="2042" customWidth="1"/>
    <col min="7423" max="7423" width="5.28515625" style="2042" customWidth="1"/>
    <col min="7424" max="7424" width="4.28515625" style="2042" customWidth="1"/>
    <col min="7425" max="7425" width="4.140625" style="2042" customWidth="1"/>
    <col min="7426" max="7426" width="3" style="2042" customWidth="1"/>
    <col min="7427" max="7427" width="4.5703125" style="2042" customWidth="1"/>
    <col min="7428" max="7428" width="4.28515625" style="2042" customWidth="1"/>
    <col min="7429" max="7429" width="4" style="2042" customWidth="1"/>
    <col min="7430" max="7430" width="3" style="2042" customWidth="1"/>
    <col min="7431" max="7431" width="3.85546875" style="2042" customWidth="1"/>
    <col min="7432" max="7432" width="4.28515625" style="2042" customWidth="1"/>
    <col min="7433" max="7433" width="3.28515625" style="2042" customWidth="1"/>
    <col min="7434" max="7434" width="4.85546875" style="2042" customWidth="1"/>
    <col min="7435" max="7435" width="10.5703125" style="2042" customWidth="1"/>
    <col min="7436" max="7436" width="7" style="2042" customWidth="1"/>
    <col min="7437" max="7437" width="8" style="2042" customWidth="1"/>
    <col min="7438" max="7440" width="7.5703125" style="2042" customWidth="1"/>
    <col min="7441" max="7441" width="7" style="2042" customWidth="1"/>
    <col min="7442" max="7667" width="9.140625" style="2042"/>
    <col min="7668" max="7668" width="4.28515625" style="2042" customWidth="1"/>
    <col min="7669" max="7669" width="20.5703125" style="2042" customWidth="1"/>
    <col min="7670" max="7670" width="12.28515625" style="2042" customWidth="1"/>
    <col min="7671" max="7671" width="12.5703125" style="2042" customWidth="1"/>
    <col min="7672" max="7672" width="3.85546875" style="2042" customWidth="1"/>
    <col min="7673" max="7673" width="4.140625" style="2042" customWidth="1"/>
    <col min="7674" max="7675" width="4" style="2042" customWidth="1"/>
    <col min="7676" max="7676" width="16.28515625" style="2042" customWidth="1"/>
    <col min="7677" max="7677" width="5.5703125" style="2042" customWidth="1"/>
    <col min="7678" max="7678" width="8.5703125" style="2042" customWidth="1"/>
    <col min="7679" max="7679" width="5.28515625" style="2042" customWidth="1"/>
    <col min="7680" max="7680" width="4.28515625" style="2042" customWidth="1"/>
    <col min="7681" max="7681" width="4.140625" style="2042" customWidth="1"/>
    <col min="7682" max="7682" width="3" style="2042" customWidth="1"/>
    <col min="7683" max="7683" width="4.5703125" style="2042" customWidth="1"/>
    <col min="7684" max="7684" width="4.28515625" style="2042" customWidth="1"/>
    <col min="7685" max="7685" width="4" style="2042" customWidth="1"/>
    <col min="7686" max="7686" width="3" style="2042" customWidth="1"/>
    <col min="7687" max="7687" width="3.85546875" style="2042" customWidth="1"/>
    <col min="7688" max="7688" width="4.28515625" style="2042" customWidth="1"/>
    <col min="7689" max="7689" width="3.28515625" style="2042" customWidth="1"/>
    <col min="7690" max="7690" width="4.85546875" style="2042" customWidth="1"/>
    <col min="7691" max="7691" width="10.5703125" style="2042" customWidth="1"/>
    <col min="7692" max="7692" width="7" style="2042" customWidth="1"/>
    <col min="7693" max="7693" width="8" style="2042" customWidth="1"/>
    <col min="7694" max="7696" width="7.5703125" style="2042" customWidth="1"/>
    <col min="7697" max="7697" width="7" style="2042" customWidth="1"/>
    <col min="7698" max="7923" width="9.140625" style="2042"/>
    <col min="7924" max="7924" width="4.28515625" style="2042" customWidth="1"/>
    <col min="7925" max="7925" width="20.5703125" style="2042" customWidth="1"/>
    <col min="7926" max="7926" width="12.28515625" style="2042" customWidth="1"/>
    <col min="7927" max="7927" width="12.5703125" style="2042" customWidth="1"/>
    <col min="7928" max="7928" width="3.85546875" style="2042" customWidth="1"/>
    <col min="7929" max="7929" width="4.140625" style="2042" customWidth="1"/>
    <col min="7930" max="7931" width="4" style="2042" customWidth="1"/>
    <col min="7932" max="7932" width="16.28515625" style="2042" customWidth="1"/>
    <col min="7933" max="7933" width="5.5703125" style="2042" customWidth="1"/>
    <col min="7934" max="7934" width="8.5703125" style="2042" customWidth="1"/>
    <col min="7935" max="7935" width="5.28515625" style="2042" customWidth="1"/>
    <col min="7936" max="7936" width="4.28515625" style="2042" customWidth="1"/>
    <col min="7937" max="7937" width="4.140625" style="2042" customWidth="1"/>
    <col min="7938" max="7938" width="3" style="2042" customWidth="1"/>
    <col min="7939" max="7939" width="4.5703125" style="2042" customWidth="1"/>
    <col min="7940" max="7940" width="4.28515625" style="2042" customWidth="1"/>
    <col min="7941" max="7941" width="4" style="2042" customWidth="1"/>
    <col min="7942" max="7942" width="3" style="2042" customWidth="1"/>
    <col min="7943" max="7943" width="3.85546875" style="2042" customWidth="1"/>
    <col min="7944" max="7944" width="4.28515625" style="2042" customWidth="1"/>
    <col min="7945" max="7945" width="3.28515625" style="2042" customWidth="1"/>
    <col min="7946" max="7946" width="4.85546875" style="2042" customWidth="1"/>
    <col min="7947" max="7947" width="10.5703125" style="2042" customWidth="1"/>
    <col min="7948" max="7948" width="7" style="2042" customWidth="1"/>
    <col min="7949" max="7949" width="8" style="2042" customWidth="1"/>
    <col min="7950" max="7952" width="7.5703125" style="2042" customWidth="1"/>
    <col min="7953" max="7953" width="7" style="2042" customWidth="1"/>
    <col min="7954" max="8179" width="9.140625" style="2042"/>
    <col min="8180" max="8180" width="4.28515625" style="2042" customWidth="1"/>
    <col min="8181" max="8181" width="20.5703125" style="2042" customWidth="1"/>
    <col min="8182" max="8182" width="12.28515625" style="2042" customWidth="1"/>
    <col min="8183" max="8183" width="12.5703125" style="2042" customWidth="1"/>
    <col min="8184" max="8184" width="3.85546875" style="2042" customWidth="1"/>
    <col min="8185" max="8185" width="4.140625" style="2042" customWidth="1"/>
    <col min="8186" max="8187" width="4" style="2042" customWidth="1"/>
    <col min="8188" max="8188" width="16.28515625" style="2042" customWidth="1"/>
    <col min="8189" max="8189" width="5.5703125" style="2042" customWidth="1"/>
    <col min="8190" max="8190" width="8.5703125" style="2042" customWidth="1"/>
    <col min="8191" max="8191" width="5.28515625" style="2042" customWidth="1"/>
    <col min="8192" max="8192" width="4.28515625" style="2042" customWidth="1"/>
    <col min="8193" max="8193" width="4.140625" style="2042" customWidth="1"/>
    <col min="8194" max="8194" width="3" style="2042" customWidth="1"/>
    <col min="8195" max="8195" width="4.5703125" style="2042" customWidth="1"/>
    <col min="8196" max="8196" width="4.28515625" style="2042" customWidth="1"/>
    <col min="8197" max="8197" width="4" style="2042" customWidth="1"/>
    <col min="8198" max="8198" width="3" style="2042" customWidth="1"/>
    <col min="8199" max="8199" width="3.85546875" style="2042" customWidth="1"/>
    <col min="8200" max="8200" width="4.28515625" style="2042" customWidth="1"/>
    <col min="8201" max="8201" width="3.28515625" style="2042" customWidth="1"/>
    <col min="8202" max="8202" width="4.85546875" style="2042" customWidth="1"/>
    <col min="8203" max="8203" width="10.5703125" style="2042" customWidth="1"/>
    <col min="8204" max="8204" width="7" style="2042" customWidth="1"/>
    <col min="8205" max="8205" width="8" style="2042" customWidth="1"/>
    <col min="8206" max="8208" width="7.5703125" style="2042" customWidth="1"/>
    <col min="8209" max="8209" width="7" style="2042" customWidth="1"/>
    <col min="8210" max="8435" width="9.140625" style="2042"/>
    <col min="8436" max="8436" width="4.28515625" style="2042" customWidth="1"/>
    <col min="8437" max="8437" width="20.5703125" style="2042" customWidth="1"/>
    <col min="8438" max="8438" width="12.28515625" style="2042" customWidth="1"/>
    <col min="8439" max="8439" width="12.5703125" style="2042" customWidth="1"/>
    <col min="8440" max="8440" width="3.85546875" style="2042" customWidth="1"/>
    <col min="8441" max="8441" width="4.140625" style="2042" customWidth="1"/>
    <col min="8442" max="8443" width="4" style="2042" customWidth="1"/>
    <col min="8444" max="8444" width="16.28515625" style="2042" customWidth="1"/>
    <col min="8445" max="8445" width="5.5703125" style="2042" customWidth="1"/>
    <col min="8446" max="8446" width="8.5703125" style="2042" customWidth="1"/>
    <col min="8447" max="8447" width="5.28515625" style="2042" customWidth="1"/>
    <col min="8448" max="8448" width="4.28515625" style="2042" customWidth="1"/>
    <col min="8449" max="8449" width="4.140625" style="2042" customWidth="1"/>
    <col min="8450" max="8450" width="3" style="2042" customWidth="1"/>
    <col min="8451" max="8451" width="4.5703125" style="2042" customWidth="1"/>
    <col min="8452" max="8452" width="4.28515625" style="2042" customWidth="1"/>
    <col min="8453" max="8453" width="4" style="2042" customWidth="1"/>
    <col min="8454" max="8454" width="3" style="2042" customWidth="1"/>
    <col min="8455" max="8455" width="3.85546875" style="2042" customWidth="1"/>
    <col min="8456" max="8456" width="4.28515625" style="2042" customWidth="1"/>
    <col min="8457" max="8457" width="3.28515625" style="2042" customWidth="1"/>
    <col min="8458" max="8458" width="4.85546875" style="2042" customWidth="1"/>
    <col min="8459" max="8459" width="10.5703125" style="2042" customWidth="1"/>
    <col min="8460" max="8460" width="7" style="2042" customWidth="1"/>
    <col min="8461" max="8461" width="8" style="2042" customWidth="1"/>
    <col min="8462" max="8464" width="7.5703125" style="2042" customWidth="1"/>
    <col min="8465" max="8465" width="7" style="2042" customWidth="1"/>
    <col min="8466" max="8691" width="9.140625" style="2042"/>
    <col min="8692" max="8692" width="4.28515625" style="2042" customWidth="1"/>
    <col min="8693" max="8693" width="20.5703125" style="2042" customWidth="1"/>
    <col min="8694" max="8694" width="12.28515625" style="2042" customWidth="1"/>
    <col min="8695" max="8695" width="12.5703125" style="2042" customWidth="1"/>
    <col min="8696" max="8696" width="3.85546875" style="2042" customWidth="1"/>
    <col min="8697" max="8697" width="4.140625" style="2042" customWidth="1"/>
    <col min="8698" max="8699" width="4" style="2042" customWidth="1"/>
    <col min="8700" max="8700" width="16.28515625" style="2042" customWidth="1"/>
    <col min="8701" max="8701" width="5.5703125" style="2042" customWidth="1"/>
    <col min="8702" max="8702" width="8.5703125" style="2042" customWidth="1"/>
    <col min="8703" max="8703" width="5.28515625" style="2042" customWidth="1"/>
    <col min="8704" max="8704" width="4.28515625" style="2042" customWidth="1"/>
    <col min="8705" max="8705" width="4.140625" style="2042" customWidth="1"/>
    <col min="8706" max="8706" width="3" style="2042" customWidth="1"/>
    <col min="8707" max="8707" width="4.5703125" style="2042" customWidth="1"/>
    <col min="8708" max="8708" width="4.28515625" style="2042" customWidth="1"/>
    <col min="8709" max="8709" width="4" style="2042" customWidth="1"/>
    <col min="8710" max="8710" width="3" style="2042" customWidth="1"/>
    <col min="8711" max="8711" width="3.85546875" style="2042" customWidth="1"/>
    <col min="8712" max="8712" width="4.28515625" style="2042" customWidth="1"/>
    <col min="8713" max="8713" width="3.28515625" style="2042" customWidth="1"/>
    <col min="8714" max="8714" width="4.85546875" style="2042" customWidth="1"/>
    <col min="8715" max="8715" width="10.5703125" style="2042" customWidth="1"/>
    <col min="8716" max="8716" width="7" style="2042" customWidth="1"/>
    <col min="8717" max="8717" width="8" style="2042" customWidth="1"/>
    <col min="8718" max="8720" width="7.5703125" style="2042" customWidth="1"/>
    <col min="8721" max="8721" width="7" style="2042" customWidth="1"/>
    <col min="8722" max="8947" width="9.140625" style="2042"/>
    <col min="8948" max="8948" width="4.28515625" style="2042" customWidth="1"/>
    <col min="8949" max="8949" width="20.5703125" style="2042" customWidth="1"/>
    <col min="8950" max="8950" width="12.28515625" style="2042" customWidth="1"/>
    <col min="8951" max="8951" width="12.5703125" style="2042" customWidth="1"/>
    <col min="8952" max="8952" width="3.85546875" style="2042" customWidth="1"/>
    <col min="8953" max="8953" width="4.140625" style="2042" customWidth="1"/>
    <col min="8954" max="8955" width="4" style="2042" customWidth="1"/>
    <col min="8956" max="8956" width="16.28515625" style="2042" customWidth="1"/>
    <col min="8957" max="8957" width="5.5703125" style="2042" customWidth="1"/>
    <col min="8958" max="8958" width="8.5703125" style="2042" customWidth="1"/>
    <col min="8959" max="8959" width="5.28515625" style="2042" customWidth="1"/>
    <col min="8960" max="8960" width="4.28515625" style="2042" customWidth="1"/>
    <col min="8961" max="8961" width="4.140625" style="2042" customWidth="1"/>
    <col min="8962" max="8962" width="3" style="2042" customWidth="1"/>
    <col min="8963" max="8963" width="4.5703125" style="2042" customWidth="1"/>
    <col min="8964" max="8964" width="4.28515625" style="2042" customWidth="1"/>
    <col min="8965" max="8965" width="4" style="2042" customWidth="1"/>
    <col min="8966" max="8966" width="3" style="2042" customWidth="1"/>
    <col min="8967" max="8967" width="3.85546875" style="2042" customWidth="1"/>
    <col min="8968" max="8968" width="4.28515625" style="2042" customWidth="1"/>
    <col min="8969" max="8969" width="3.28515625" style="2042" customWidth="1"/>
    <col min="8970" max="8970" width="4.85546875" style="2042" customWidth="1"/>
    <col min="8971" max="8971" width="10.5703125" style="2042" customWidth="1"/>
    <col min="8972" max="8972" width="7" style="2042" customWidth="1"/>
    <col min="8973" max="8973" width="8" style="2042" customWidth="1"/>
    <col min="8974" max="8976" width="7.5703125" style="2042" customWidth="1"/>
    <col min="8977" max="8977" width="7" style="2042" customWidth="1"/>
    <col min="8978" max="9203" width="9.140625" style="2042"/>
    <col min="9204" max="9204" width="4.28515625" style="2042" customWidth="1"/>
    <col min="9205" max="9205" width="20.5703125" style="2042" customWidth="1"/>
    <col min="9206" max="9206" width="12.28515625" style="2042" customWidth="1"/>
    <col min="9207" max="9207" width="12.5703125" style="2042" customWidth="1"/>
    <col min="9208" max="9208" width="3.85546875" style="2042" customWidth="1"/>
    <col min="9209" max="9209" width="4.140625" style="2042" customWidth="1"/>
    <col min="9210" max="9211" width="4" style="2042" customWidth="1"/>
    <col min="9212" max="9212" width="16.28515625" style="2042" customWidth="1"/>
    <col min="9213" max="9213" width="5.5703125" style="2042" customWidth="1"/>
    <col min="9214" max="9214" width="8.5703125" style="2042" customWidth="1"/>
    <col min="9215" max="9215" width="5.28515625" style="2042" customWidth="1"/>
    <col min="9216" max="9216" width="4.28515625" style="2042" customWidth="1"/>
    <col min="9217" max="9217" width="4.140625" style="2042" customWidth="1"/>
    <col min="9218" max="9218" width="3" style="2042" customWidth="1"/>
    <col min="9219" max="9219" width="4.5703125" style="2042" customWidth="1"/>
    <col min="9220" max="9220" width="4.28515625" style="2042" customWidth="1"/>
    <col min="9221" max="9221" width="4" style="2042" customWidth="1"/>
    <col min="9222" max="9222" width="3" style="2042" customWidth="1"/>
    <col min="9223" max="9223" width="3.85546875" style="2042" customWidth="1"/>
    <col min="9224" max="9224" width="4.28515625" style="2042" customWidth="1"/>
    <col min="9225" max="9225" width="3.28515625" style="2042" customWidth="1"/>
    <col min="9226" max="9226" width="4.85546875" style="2042" customWidth="1"/>
    <col min="9227" max="9227" width="10.5703125" style="2042" customWidth="1"/>
    <col min="9228" max="9228" width="7" style="2042" customWidth="1"/>
    <col min="9229" max="9229" width="8" style="2042" customWidth="1"/>
    <col min="9230" max="9232" width="7.5703125" style="2042" customWidth="1"/>
    <col min="9233" max="9233" width="7" style="2042" customWidth="1"/>
    <col min="9234" max="9459" width="9.140625" style="2042"/>
    <col min="9460" max="9460" width="4.28515625" style="2042" customWidth="1"/>
    <col min="9461" max="9461" width="20.5703125" style="2042" customWidth="1"/>
    <col min="9462" max="9462" width="12.28515625" style="2042" customWidth="1"/>
    <col min="9463" max="9463" width="12.5703125" style="2042" customWidth="1"/>
    <col min="9464" max="9464" width="3.85546875" style="2042" customWidth="1"/>
    <col min="9465" max="9465" width="4.140625" style="2042" customWidth="1"/>
    <col min="9466" max="9467" width="4" style="2042" customWidth="1"/>
    <col min="9468" max="9468" width="16.28515625" style="2042" customWidth="1"/>
    <col min="9469" max="9469" width="5.5703125" style="2042" customWidth="1"/>
    <col min="9470" max="9470" width="8.5703125" style="2042" customWidth="1"/>
    <col min="9471" max="9471" width="5.28515625" style="2042" customWidth="1"/>
    <col min="9472" max="9472" width="4.28515625" style="2042" customWidth="1"/>
    <col min="9473" max="9473" width="4.140625" style="2042" customWidth="1"/>
    <col min="9474" max="9474" width="3" style="2042" customWidth="1"/>
    <col min="9475" max="9475" width="4.5703125" style="2042" customWidth="1"/>
    <col min="9476" max="9476" width="4.28515625" style="2042" customWidth="1"/>
    <col min="9477" max="9477" width="4" style="2042" customWidth="1"/>
    <col min="9478" max="9478" width="3" style="2042" customWidth="1"/>
    <col min="9479" max="9479" width="3.85546875" style="2042" customWidth="1"/>
    <col min="9480" max="9480" width="4.28515625" style="2042" customWidth="1"/>
    <col min="9481" max="9481" width="3.28515625" style="2042" customWidth="1"/>
    <col min="9482" max="9482" width="4.85546875" style="2042" customWidth="1"/>
    <col min="9483" max="9483" width="10.5703125" style="2042" customWidth="1"/>
    <col min="9484" max="9484" width="7" style="2042" customWidth="1"/>
    <col min="9485" max="9485" width="8" style="2042" customWidth="1"/>
    <col min="9486" max="9488" width="7.5703125" style="2042" customWidth="1"/>
    <col min="9489" max="9489" width="7" style="2042" customWidth="1"/>
    <col min="9490" max="9715" width="9.140625" style="2042"/>
    <col min="9716" max="9716" width="4.28515625" style="2042" customWidth="1"/>
    <col min="9717" max="9717" width="20.5703125" style="2042" customWidth="1"/>
    <col min="9718" max="9718" width="12.28515625" style="2042" customWidth="1"/>
    <col min="9719" max="9719" width="12.5703125" style="2042" customWidth="1"/>
    <col min="9720" max="9720" width="3.85546875" style="2042" customWidth="1"/>
    <col min="9721" max="9721" width="4.140625" style="2042" customWidth="1"/>
    <col min="9722" max="9723" width="4" style="2042" customWidth="1"/>
    <col min="9724" max="9724" width="16.28515625" style="2042" customWidth="1"/>
    <col min="9725" max="9725" width="5.5703125" style="2042" customWidth="1"/>
    <col min="9726" max="9726" width="8.5703125" style="2042" customWidth="1"/>
    <col min="9727" max="9727" width="5.28515625" style="2042" customWidth="1"/>
    <col min="9728" max="9728" width="4.28515625" style="2042" customWidth="1"/>
    <col min="9729" max="9729" width="4.140625" style="2042" customWidth="1"/>
    <col min="9730" max="9730" width="3" style="2042" customWidth="1"/>
    <col min="9731" max="9731" width="4.5703125" style="2042" customWidth="1"/>
    <col min="9732" max="9732" width="4.28515625" style="2042" customWidth="1"/>
    <col min="9733" max="9733" width="4" style="2042" customWidth="1"/>
    <col min="9734" max="9734" width="3" style="2042" customWidth="1"/>
    <col min="9735" max="9735" width="3.85546875" style="2042" customWidth="1"/>
    <col min="9736" max="9736" width="4.28515625" style="2042" customWidth="1"/>
    <col min="9737" max="9737" width="3.28515625" style="2042" customWidth="1"/>
    <col min="9738" max="9738" width="4.85546875" style="2042" customWidth="1"/>
    <col min="9739" max="9739" width="10.5703125" style="2042" customWidth="1"/>
    <col min="9740" max="9740" width="7" style="2042" customWidth="1"/>
    <col min="9741" max="9741" width="8" style="2042" customWidth="1"/>
    <col min="9742" max="9744" width="7.5703125" style="2042" customWidth="1"/>
    <col min="9745" max="9745" width="7" style="2042" customWidth="1"/>
    <col min="9746" max="9971" width="9.140625" style="2042"/>
    <col min="9972" max="9972" width="4.28515625" style="2042" customWidth="1"/>
    <col min="9973" max="9973" width="20.5703125" style="2042" customWidth="1"/>
    <col min="9974" max="9974" width="12.28515625" style="2042" customWidth="1"/>
    <col min="9975" max="9975" width="12.5703125" style="2042" customWidth="1"/>
    <col min="9976" max="9976" width="3.85546875" style="2042" customWidth="1"/>
    <col min="9977" max="9977" width="4.140625" style="2042" customWidth="1"/>
    <col min="9978" max="9979" width="4" style="2042" customWidth="1"/>
    <col min="9980" max="9980" width="16.28515625" style="2042" customWidth="1"/>
    <col min="9981" max="9981" width="5.5703125" style="2042" customWidth="1"/>
    <col min="9982" max="9982" width="8.5703125" style="2042" customWidth="1"/>
    <col min="9983" max="9983" width="5.28515625" style="2042" customWidth="1"/>
    <col min="9984" max="9984" width="4.28515625" style="2042" customWidth="1"/>
    <col min="9985" max="9985" width="4.140625" style="2042" customWidth="1"/>
    <col min="9986" max="9986" width="3" style="2042" customWidth="1"/>
    <col min="9987" max="9987" width="4.5703125" style="2042" customWidth="1"/>
    <col min="9988" max="9988" width="4.28515625" style="2042" customWidth="1"/>
    <col min="9989" max="9989" width="4" style="2042" customWidth="1"/>
    <col min="9990" max="9990" width="3" style="2042" customWidth="1"/>
    <col min="9991" max="9991" width="3.85546875" style="2042" customWidth="1"/>
    <col min="9992" max="9992" width="4.28515625" style="2042" customWidth="1"/>
    <col min="9993" max="9993" width="3.28515625" style="2042" customWidth="1"/>
    <col min="9994" max="9994" width="4.85546875" style="2042" customWidth="1"/>
    <col min="9995" max="9995" width="10.5703125" style="2042" customWidth="1"/>
    <col min="9996" max="9996" width="7" style="2042" customWidth="1"/>
    <col min="9997" max="9997" width="8" style="2042" customWidth="1"/>
    <col min="9998" max="10000" width="7.5703125" style="2042" customWidth="1"/>
    <col min="10001" max="10001" width="7" style="2042" customWidth="1"/>
    <col min="10002" max="10227" width="9.140625" style="2042"/>
    <col min="10228" max="10228" width="4.28515625" style="2042" customWidth="1"/>
    <col min="10229" max="10229" width="20.5703125" style="2042" customWidth="1"/>
    <col min="10230" max="10230" width="12.28515625" style="2042" customWidth="1"/>
    <col min="10231" max="10231" width="12.5703125" style="2042" customWidth="1"/>
    <col min="10232" max="10232" width="3.85546875" style="2042" customWidth="1"/>
    <col min="10233" max="10233" width="4.140625" style="2042" customWidth="1"/>
    <col min="10234" max="10235" width="4" style="2042" customWidth="1"/>
    <col min="10236" max="10236" width="16.28515625" style="2042" customWidth="1"/>
    <col min="10237" max="10237" width="5.5703125" style="2042" customWidth="1"/>
    <col min="10238" max="10238" width="8.5703125" style="2042" customWidth="1"/>
    <col min="10239" max="10239" width="5.28515625" style="2042" customWidth="1"/>
    <col min="10240" max="10240" width="4.28515625" style="2042" customWidth="1"/>
    <col min="10241" max="10241" width="4.140625" style="2042" customWidth="1"/>
    <col min="10242" max="10242" width="3" style="2042" customWidth="1"/>
    <col min="10243" max="10243" width="4.5703125" style="2042" customWidth="1"/>
    <col min="10244" max="10244" width="4.28515625" style="2042" customWidth="1"/>
    <col min="10245" max="10245" width="4" style="2042" customWidth="1"/>
    <col min="10246" max="10246" width="3" style="2042" customWidth="1"/>
    <col min="10247" max="10247" width="3.85546875" style="2042" customWidth="1"/>
    <col min="10248" max="10248" width="4.28515625" style="2042" customWidth="1"/>
    <col min="10249" max="10249" width="3.28515625" style="2042" customWidth="1"/>
    <col min="10250" max="10250" width="4.85546875" style="2042" customWidth="1"/>
    <col min="10251" max="10251" width="10.5703125" style="2042" customWidth="1"/>
    <col min="10252" max="10252" width="7" style="2042" customWidth="1"/>
    <col min="10253" max="10253" width="8" style="2042" customWidth="1"/>
    <col min="10254" max="10256" width="7.5703125" style="2042" customWidth="1"/>
    <col min="10257" max="10257" width="7" style="2042" customWidth="1"/>
    <col min="10258" max="10483" width="9.140625" style="2042"/>
    <col min="10484" max="10484" width="4.28515625" style="2042" customWidth="1"/>
    <col min="10485" max="10485" width="20.5703125" style="2042" customWidth="1"/>
    <col min="10486" max="10486" width="12.28515625" style="2042" customWidth="1"/>
    <col min="10487" max="10487" width="12.5703125" style="2042" customWidth="1"/>
    <col min="10488" max="10488" width="3.85546875" style="2042" customWidth="1"/>
    <col min="10489" max="10489" width="4.140625" style="2042" customWidth="1"/>
    <col min="10490" max="10491" width="4" style="2042" customWidth="1"/>
    <col min="10492" max="10492" width="16.28515625" style="2042" customWidth="1"/>
    <col min="10493" max="10493" width="5.5703125" style="2042" customWidth="1"/>
    <col min="10494" max="10494" width="8.5703125" style="2042" customWidth="1"/>
    <col min="10495" max="10495" width="5.28515625" style="2042" customWidth="1"/>
    <col min="10496" max="10496" width="4.28515625" style="2042" customWidth="1"/>
    <col min="10497" max="10497" width="4.140625" style="2042" customWidth="1"/>
    <col min="10498" max="10498" width="3" style="2042" customWidth="1"/>
    <col min="10499" max="10499" width="4.5703125" style="2042" customWidth="1"/>
    <col min="10500" max="10500" width="4.28515625" style="2042" customWidth="1"/>
    <col min="10501" max="10501" width="4" style="2042" customWidth="1"/>
    <col min="10502" max="10502" width="3" style="2042" customWidth="1"/>
    <col min="10503" max="10503" width="3.85546875" style="2042" customWidth="1"/>
    <col min="10504" max="10504" width="4.28515625" style="2042" customWidth="1"/>
    <col min="10505" max="10505" width="3.28515625" style="2042" customWidth="1"/>
    <col min="10506" max="10506" width="4.85546875" style="2042" customWidth="1"/>
    <col min="10507" max="10507" width="10.5703125" style="2042" customWidth="1"/>
    <col min="10508" max="10508" width="7" style="2042" customWidth="1"/>
    <col min="10509" max="10509" width="8" style="2042" customWidth="1"/>
    <col min="10510" max="10512" width="7.5703125" style="2042" customWidth="1"/>
    <col min="10513" max="10513" width="7" style="2042" customWidth="1"/>
    <col min="10514" max="10739" width="9.140625" style="2042"/>
    <col min="10740" max="10740" width="4.28515625" style="2042" customWidth="1"/>
    <col min="10741" max="10741" width="20.5703125" style="2042" customWidth="1"/>
    <col min="10742" max="10742" width="12.28515625" style="2042" customWidth="1"/>
    <col min="10743" max="10743" width="12.5703125" style="2042" customWidth="1"/>
    <col min="10744" max="10744" width="3.85546875" style="2042" customWidth="1"/>
    <col min="10745" max="10745" width="4.140625" style="2042" customWidth="1"/>
    <col min="10746" max="10747" width="4" style="2042" customWidth="1"/>
    <col min="10748" max="10748" width="16.28515625" style="2042" customWidth="1"/>
    <col min="10749" max="10749" width="5.5703125" style="2042" customWidth="1"/>
    <col min="10750" max="10750" width="8.5703125" style="2042" customWidth="1"/>
    <col min="10751" max="10751" width="5.28515625" style="2042" customWidth="1"/>
    <col min="10752" max="10752" width="4.28515625" style="2042" customWidth="1"/>
    <col min="10753" max="10753" width="4.140625" style="2042" customWidth="1"/>
    <col min="10754" max="10754" width="3" style="2042" customWidth="1"/>
    <col min="10755" max="10755" width="4.5703125" style="2042" customWidth="1"/>
    <col min="10756" max="10756" width="4.28515625" style="2042" customWidth="1"/>
    <col min="10757" max="10757" width="4" style="2042" customWidth="1"/>
    <col min="10758" max="10758" width="3" style="2042" customWidth="1"/>
    <col min="10759" max="10759" width="3.85546875" style="2042" customWidth="1"/>
    <col min="10760" max="10760" width="4.28515625" style="2042" customWidth="1"/>
    <col min="10761" max="10761" width="3.28515625" style="2042" customWidth="1"/>
    <col min="10762" max="10762" width="4.85546875" style="2042" customWidth="1"/>
    <col min="10763" max="10763" width="10.5703125" style="2042" customWidth="1"/>
    <col min="10764" max="10764" width="7" style="2042" customWidth="1"/>
    <col min="10765" max="10765" width="8" style="2042" customWidth="1"/>
    <col min="10766" max="10768" width="7.5703125" style="2042" customWidth="1"/>
    <col min="10769" max="10769" width="7" style="2042" customWidth="1"/>
    <col min="10770" max="10995" width="9.140625" style="2042"/>
    <col min="10996" max="10996" width="4.28515625" style="2042" customWidth="1"/>
    <col min="10997" max="10997" width="20.5703125" style="2042" customWidth="1"/>
    <col min="10998" max="10998" width="12.28515625" style="2042" customWidth="1"/>
    <col min="10999" max="10999" width="12.5703125" style="2042" customWidth="1"/>
    <col min="11000" max="11000" width="3.85546875" style="2042" customWidth="1"/>
    <col min="11001" max="11001" width="4.140625" style="2042" customWidth="1"/>
    <col min="11002" max="11003" width="4" style="2042" customWidth="1"/>
    <col min="11004" max="11004" width="16.28515625" style="2042" customWidth="1"/>
    <col min="11005" max="11005" width="5.5703125" style="2042" customWidth="1"/>
    <col min="11006" max="11006" width="8.5703125" style="2042" customWidth="1"/>
    <col min="11007" max="11007" width="5.28515625" style="2042" customWidth="1"/>
    <col min="11008" max="11008" width="4.28515625" style="2042" customWidth="1"/>
    <col min="11009" max="11009" width="4.140625" style="2042" customWidth="1"/>
    <col min="11010" max="11010" width="3" style="2042" customWidth="1"/>
    <col min="11011" max="11011" width="4.5703125" style="2042" customWidth="1"/>
    <col min="11012" max="11012" width="4.28515625" style="2042" customWidth="1"/>
    <col min="11013" max="11013" width="4" style="2042" customWidth="1"/>
    <col min="11014" max="11014" width="3" style="2042" customWidth="1"/>
    <col min="11015" max="11015" width="3.85546875" style="2042" customWidth="1"/>
    <col min="11016" max="11016" width="4.28515625" style="2042" customWidth="1"/>
    <col min="11017" max="11017" width="3.28515625" style="2042" customWidth="1"/>
    <col min="11018" max="11018" width="4.85546875" style="2042" customWidth="1"/>
    <col min="11019" max="11019" width="10.5703125" style="2042" customWidth="1"/>
    <col min="11020" max="11020" width="7" style="2042" customWidth="1"/>
    <col min="11021" max="11021" width="8" style="2042" customWidth="1"/>
    <col min="11022" max="11024" width="7.5703125" style="2042" customWidth="1"/>
    <col min="11025" max="11025" width="7" style="2042" customWidth="1"/>
    <col min="11026" max="11251" width="9.140625" style="2042"/>
    <col min="11252" max="11252" width="4.28515625" style="2042" customWidth="1"/>
    <col min="11253" max="11253" width="20.5703125" style="2042" customWidth="1"/>
    <col min="11254" max="11254" width="12.28515625" style="2042" customWidth="1"/>
    <col min="11255" max="11255" width="12.5703125" style="2042" customWidth="1"/>
    <col min="11256" max="11256" width="3.85546875" style="2042" customWidth="1"/>
    <col min="11257" max="11257" width="4.140625" style="2042" customWidth="1"/>
    <col min="11258" max="11259" width="4" style="2042" customWidth="1"/>
    <col min="11260" max="11260" width="16.28515625" style="2042" customWidth="1"/>
    <col min="11261" max="11261" width="5.5703125" style="2042" customWidth="1"/>
    <col min="11262" max="11262" width="8.5703125" style="2042" customWidth="1"/>
    <col min="11263" max="11263" width="5.28515625" style="2042" customWidth="1"/>
    <col min="11264" max="11264" width="4.28515625" style="2042" customWidth="1"/>
    <col min="11265" max="11265" width="4.140625" style="2042" customWidth="1"/>
    <col min="11266" max="11266" width="3" style="2042" customWidth="1"/>
    <col min="11267" max="11267" width="4.5703125" style="2042" customWidth="1"/>
    <col min="11268" max="11268" width="4.28515625" style="2042" customWidth="1"/>
    <col min="11269" max="11269" width="4" style="2042" customWidth="1"/>
    <col min="11270" max="11270" width="3" style="2042" customWidth="1"/>
    <col min="11271" max="11271" width="3.85546875" style="2042" customWidth="1"/>
    <col min="11272" max="11272" width="4.28515625" style="2042" customWidth="1"/>
    <col min="11273" max="11273" width="3.28515625" style="2042" customWidth="1"/>
    <col min="11274" max="11274" width="4.85546875" style="2042" customWidth="1"/>
    <col min="11275" max="11275" width="10.5703125" style="2042" customWidth="1"/>
    <col min="11276" max="11276" width="7" style="2042" customWidth="1"/>
    <col min="11277" max="11277" width="8" style="2042" customWidth="1"/>
    <col min="11278" max="11280" width="7.5703125" style="2042" customWidth="1"/>
    <col min="11281" max="11281" width="7" style="2042" customWidth="1"/>
    <col min="11282" max="11507" width="9.140625" style="2042"/>
    <col min="11508" max="11508" width="4.28515625" style="2042" customWidth="1"/>
    <col min="11509" max="11509" width="20.5703125" style="2042" customWidth="1"/>
    <col min="11510" max="11510" width="12.28515625" style="2042" customWidth="1"/>
    <col min="11511" max="11511" width="12.5703125" style="2042" customWidth="1"/>
    <col min="11512" max="11512" width="3.85546875" style="2042" customWidth="1"/>
    <col min="11513" max="11513" width="4.140625" style="2042" customWidth="1"/>
    <col min="11514" max="11515" width="4" style="2042" customWidth="1"/>
    <col min="11516" max="11516" width="16.28515625" style="2042" customWidth="1"/>
    <col min="11517" max="11517" width="5.5703125" style="2042" customWidth="1"/>
    <col min="11518" max="11518" width="8.5703125" style="2042" customWidth="1"/>
    <col min="11519" max="11519" width="5.28515625" style="2042" customWidth="1"/>
    <col min="11520" max="11520" width="4.28515625" style="2042" customWidth="1"/>
    <col min="11521" max="11521" width="4.140625" style="2042" customWidth="1"/>
    <col min="11522" max="11522" width="3" style="2042" customWidth="1"/>
    <col min="11523" max="11523" width="4.5703125" style="2042" customWidth="1"/>
    <col min="11524" max="11524" width="4.28515625" style="2042" customWidth="1"/>
    <col min="11525" max="11525" width="4" style="2042" customWidth="1"/>
    <col min="11526" max="11526" width="3" style="2042" customWidth="1"/>
    <col min="11527" max="11527" width="3.85546875" style="2042" customWidth="1"/>
    <col min="11528" max="11528" width="4.28515625" style="2042" customWidth="1"/>
    <col min="11529" max="11529" width="3.28515625" style="2042" customWidth="1"/>
    <col min="11530" max="11530" width="4.85546875" style="2042" customWidth="1"/>
    <col min="11531" max="11531" width="10.5703125" style="2042" customWidth="1"/>
    <col min="11532" max="11532" width="7" style="2042" customWidth="1"/>
    <col min="11533" max="11533" width="8" style="2042" customWidth="1"/>
    <col min="11534" max="11536" width="7.5703125" style="2042" customWidth="1"/>
    <col min="11537" max="11537" width="7" style="2042" customWidth="1"/>
    <col min="11538" max="11763" width="9.140625" style="2042"/>
    <col min="11764" max="11764" width="4.28515625" style="2042" customWidth="1"/>
    <col min="11765" max="11765" width="20.5703125" style="2042" customWidth="1"/>
    <col min="11766" max="11766" width="12.28515625" style="2042" customWidth="1"/>
    <col min="11767" max="11767" width="12.5703125" style="2042" customWidth="1"/>
    <col min="11768" max="11768" width="3.85546875" style="2042" customWidth="1"/>
    <col min="11769" max="11769" width="4.140625" style="2042" customWidth="1"/>
    <col min="11770" max="11771" width="4" style="2042" customWidth="1"/>
    <col min="11772" max="11772" width="16.28515625" style="2042" customWidth="1"/>
    <col min="11773" max="11773" width="5.5703125" style="2042" customWidth="1"/>
    <col min="11774" max="11774" width="8.5703125" style="2042" customWidth="1"/>
    <col min="11775" max="11775" width="5.28515625" style="2042" customWidth="1"/>
    <col min="11776" max="11776" width="4.28515625" style="2042" customWidth="1"/>
    <col min="11777" max="11777" width="4.140625" style="2042" customWidth="1"/>
    <col min="11778" max="11778" width="3" style="2042" customWidth="1"/>
    <col min="11779" max="11779" width="4.5703125" style="2042" customWidth="1"/>
    <col min="11780" max="11780" width="4.28515625" style="2042" customWidth="1"/>
    <col min="11781" max="11781" width="4" style="2042" customWidth="1"/>
    <col min="11782" max="11782" width="3" style="2042" customWidth="1"/>
    <col min="11783" max="11783" width="3.85546875" style="2042" customWidth="1"/>
    <col min="11784" max="11784" width="4.28515625" style="2042" customWidth="1"/>
    <col min="11785" max="11785" width="3.28515625" style="2042" customWidth="1"/>
    <col min="11786" max="11786" width="4.85546875" style="2042" customWidth="1"/>
    <col min="11787" max="11787" width="10.5703125" style="2042" customWidth="1"/>
    <col min="11788" max="11788" width="7" style="2042" customWidth="1"/>
    <col min="11789" max="11789" width="8" style="2042" customWidth="1"/>
    <col min="11790" max="11792" width="7.5703125" style="2042" customWidth="1"/>
    <col min="11793" max="11793" width="7" style="2042" customWidth="1"/>
    <col min="11794" max="12019" width="9.140625" style="2042"/>
    <col min="12020" max="12020" width="4.28515625" style="2042" customWidth="1"/>
    <col min="12021" max="12021" width="20.5703125" style="2042" customWidth="1"/>
    <col min="12022" max="12022" width="12.28515625" style="2042" customWidth="1"/>
    <col min="12023" max="12023" width="12.5703125" style="2042" customWidth="1"/>
    <col min="12024" max="12024" width="3.85546875" style="2042" customWidth="1"/>
    <col min="12025" max="12025" width="4.140625" style="2042" customWidth="1"/>
    <col min="12026" max="12027" width="4" style="2042" customWidth="1"/>
    <col min="12028" max="12028" width="16.28515625" style="2042" customWidth="1"/>
    <col min="12029" max="12029" width="5.5703125" style="2042" customWidth="1"/>
    <col min="12030" max="12030" width="8.5703125" style="2042" customWidth="1"/>
    <col min="12031" max="12031" width="5.28515625" style="2042" customWidth="1"/>
    <col min="12032" max="12032" width="4.28515625" style="2042" customWidth="1"/>
    <col min="12033" max="12033" width="4.140625" style="2042" customWidth="1"/>
    <col min="12034" max="12034" width="3" style="2042" customWidth="1"/>
    <col min="12035" max="12035" width="4.5703125" style="2042" customWidth="1"/>
    <col min="12036" max="12036" width="4.28515625" style="2042" customWidth="1"/>
    <col min="12037" max="12037" width="4" style="2042" customWidth="1"/>
    <col min="12038" max="12038" width="3" style="2042" customWidth="1"/>
    <col min="12039" max="12039" width="3.85546875" style="2042" customWidth="1"/>
    <col min="12040" max="12040" width="4.28515625" style="2042" customWidth="1"/>
    <col min="12041" max="12041" width="3.28515625" style="2042" customWidth="1"/>
    <col min="12042" max="12042" width="4.85546875" style="2042" customWidth="1"/>
    <col min="12043" max="12043" width="10.5703125" style="2042" customWidth="1"/>
    <col min="12044" max="12044" width="7" style="2042" customWidth="1"/>
    <col min="12045" max="12045" width="8" style="2042" customWidth="1"/>
    <col min="12046" max="12048" width="7.5703125" style="2042" customWidth="1"/>
    <col min="12049" max="12049" width="7" style="2042" customWidth="1"/>
    <col min="12050" max="12275" width="9.140625" style="2042"/>
    <col min="12276" max="12276" width="4.28515625" style="2042" customWidth="1"/>
    <col min="12277" max="12277" width="20.5703125" style="2042" customWidth="1"/>
    <col min="12278" max="12278" width="12.28515625" style="2042" customWidth="1"/>
    <col min="12279" max="12279" width="12.5703125" style="2042" customWidth="1"/>
    <col min="12280" max="12280" width="3.85546875" style="2042" customWidth="1"/>
    <col min="12281" max="12281" width="4.140625" style="2042" customWidth="1"/>
    <col min="12282" max="12283" width="4" style="2042" customWidth="1"/>
    <col min="12284" max="12284" width="16.28515625" style="2042" customWidth="1"/>
    <col min="12285" max="12285" width="5.5703125" style="2042" customWidth="1"/>
    <col min="12286" max="12286" width="8.5703125" style="2042" customWidth="1"/>
    <col min="12287" max="12287" width="5.28515625" style="2042" customWidth="1"/>
    <col min="12288" max="12288" width="4.28515625" style="2042" customWidth="1"/>
    <col min="12289" max="12289" width="4.140625" style="2042" customWidth="1"/>
    <col min="12290" max="12290" width="3" style="2042" customWidth="1"/>
    <col min="12291" max="12291" width="4.5703125" style="2042" customWidth="1"/>
    <col min="12292" max="12292" width="4.28515625" style="2042" customWidth="1"/>
    <col min="12293" max="12293" width="4" style="2042" customWidth="1"/>
    <col min="12294" max="12294" width="3" style="2042" customWidth="1"/>
    <col min="12295" max="12295" width="3.85546875" style="2042" customWidth="1"/>
    <col min="12296" max="12296" width="4.28515625" style="2042" customWidth="1"/>
    <col min="12297" max="12297" width="3.28515625" style="2042" customWidth="1"/>
    <col min="12298" max="12298" width="4.85546875" style="2042" customWidth="1"/>
    <col min="12299" max="12299" width="10.5703125" style="2042" customWidth="1"/>
    <col min="12300" max="12300" width="7" style="2042" customWidth="1"/>
    <col min="12301" max="12301" width="8" style="2042" customWidth="1"/>
    <col min="12302" max="12304" width="7.5703125" style="2042" customWidth="1"/>
    <col min="12305" max="12305" width="7" style="2042" customWidth="1"/>
    <col min="12306" max="12531" width="9.140625" style="2042"/>
    <col min="12532" max="12532" width="4.28515625" style="2042" customWidth="1"/>
    <col min="12533" max="12533" width="20.5703125" style="2042" customWidth="1"/>
    <col min="12534" max="12534" width="12.28515625" style="2042" customWidth="1"/>
    <col min="12535" max="12535" width="12.5703125" style="2042" customWidth="1"/>
    <col min="12536" max="12536" width="3.85546875" style="2042" customWidth="1"/>
    <col min="12537" max="12537" width="4.140625" style="2042" customWidth="1"/>
    <col min="12538" max="12539" width="4" style="2042" customWidth="1"/>
    <col min="12540" max="12540" width="16.28515625" style="2042" customWidth="1"/>
    <col min="12541" max="12541" width="5.5703125" style="2042" customWidth="1"/>
    <col min="12542" max="12542" width="8.5703125" style="2042" customWidth="1"/>
    <col min="12543" max="12543" width="5.28515625" style="2042" customWidth="1"/>
    <col min="12544" max="12544" width="4.28515625" style="2042" customWidth="1"/>
    <col min="12545" max="12545" width="4.140625" style="2042" customWidth="1"/>
    <col min="12546" max="12546" width="3" style="2042" customWidth="1"/>
    <col min="12547" max="12547" width="4.5703125" style="2042" customWidth="1"/>
    <col min="12548" max="12548" width="4.28515625" style="2042" customWidth="1"/>
    <col min="12549" max="12549" width="4" style="2042" customWidth="1"/>
    <col min="12550" max="12550" width="3" style="2042" customWidth="1"/>
    <col min="12551" max="12551" width="3.85546875" style="2042" customWidth="1"/>
    <col min="12552" max="12552" width="4.28515625" style="2042" customWidth="1"/>
    <col min="12553" max="12553" width="3.28515625" style="2042" customWidth="1"/>
    <col min="12554" max="12554" width="4.85546875" style="2042" customWidth="1"/>
    <col min="12555" max="12555" width="10.5703125" style="2042" customWidth="1"/>
    <col min="12556" max="12556" width="7" style="2042" customWidth="1"/>
    <col min="12557" max="12557" width="8" style="2042" customWidth="1"/>
    <col min="12558" max="12560" width="7.5703125" style="2042" customWidth="1"/>
    <col min="12561" max="12561" width="7" style="2042" customWidth="1"/>
    <col min="12562" max="12787" width="9.140625" style="2042"/>
    <col min="12788" max="12788" width="4.28515625" style="2042" customWidth="1"/>
    <col min="12789" max="12789" width="20.5703125" style="2042" customWidth="1"/>
    <col min="12790" max="12790" width="12.28515625" style="2042" customWidth="1"/>
    <col min="12791" max="12791" width="12.5703125" style="2042" customWidth="1"/>
    <col min="12792" max="12792" width="3.85546875" style="2042" customWidth="1"/>
    <col min="12793" max="12793" width="4.140625" style="2042" customWidth="1"/>
    <col min="12794" max="12795" width="4" style="2042" customWidth="1"/>
    <col min="12796" max="12796" width="16.28515625" style="2042" customWidth="1"/>
    <col min="12797" max="12797" width="5.5703125" style="2042" customWidth="1"/>
    <col min="12798" max="12798" width="8.5703125" style="2042" customWidth="1"/>
    <col min="12799" max="12799" width="5.28515625" style="2042" customWidth="1"/>
    <col min="12800" max="12800" width="4.28515625" style="2042" customWidth="1"/>
    <col min="12801" max="12801" width="4.140625" style="2042" customWidth="1"/>
    <col min="12802" max="12802" width="3" style="2042" customWidth="1"/>
    <col min="12803" max="12803" width="4.5703125" style="2042" customWidth="1"/>
    <col min="12804" max="12804" width="4.28515625" style="2042" customWidth="1"/>
    <col min="12805" max="12805" width="4" style="2042" customWidth="1"/>
    <col min="12806" max="12806" width="3" style="2042" customWidth="1"/>
    <col min="12807" max="12807" width="3.85546875" style="2042" customWidth="1"/>
    <col min="12808" max="12808" width="4.28515625" style="2042" customWidth="1"/>
    <col min="12809" max="12809" width="3.28515625" style="2042" customWidth="1"/>
    <col min="12810" max="12810" width="4.85546875" style="2042" customWidth="1"/>
    <col min="12811" max="12811" width="10.5703125" style="2042" customWidth="1"/>
    <col min="12812" max="12812" width="7" style="2042" customWidth="1"/>
    <col min="12813" max="12813" width="8" style="2042" customWidth="1"/>
    <col min="12814" max="12816" width="7.5703125" style="2042" customWidth="1"/>
    <col min="12817" max="12817" width="7" style="2042" customWidth="1"/>
    <col min="12818" max="13043" width="9.140625" style="2042"/>
    <col min="13044" max="13044" width="4.28515625" style="2042" customWidth="1"/>
    <col min="13045" max="13045" width="20.5703125" style="2042" customWidth="1"/>
    <col min="13046" max="13046" width="12.28515625" style="2042" customWidth="1"/>
    <col min="13047" max="13047" width="12.5703125" style="2042" customWidth="1"/>
    <col min="13048" max="13048" width="3.85546875" style="2042" customWidth="1"/>
    <col min="13049" max="13049" width="4.140625" style="2042" customWidth="1"/>
    <col min="13050" max="13051" width="4" style="2042" customWidth="1"/>
    <col min="13052" max="13052" width="16.28515625" style="2042" customWidth="1"/>
    <col min="13053" max="13053" width="5.5703125" style="2042" customWidth="1"/>
    <col min="13054" max="13054" width="8.5703125" style="2042" customWidth="1"/>
    <col min="13055" max="13055" width="5.28515625" style="2042" customWidth="1"/>
    <col min="13056" max="13056" width="4.28515625" style="2042" customWidth="1"/>
    <col min="13057" max="13057" width="4.140625" style="2042" customWidth="1"/>
    <col min="13058" max="13058" width="3" style="2042" customWidth="1"/>
    <col min="13059" max="13059" width="4.5703125" style="2042" customWidth="1"/>
    <col min="13060" max="13060" width="4.28515625" style="2042" customWidth="1"/>
    <col min="13061" max="13061" width="4" style="2042" customWidth="1"/>
    <col min="13062" max="13062" width="3" style="2042" customWidth="1"/>
    <col min="13063" max="13063" width="3.85546875" style="2042" customWidth="1"/>
    <col min="13064" max="13064" width="4.28515625" style="2042" customWidth="1"/>
    <col min="13065" max="13065" width="3.28515625" style="2042" customWidth="1"/>
    <col min="13066" max="13066" width="4.85546875" style="2042" customWidth="1"/>
    <col min="13067" max="13067" width="10.5703125" style="2042" customWidth="1"/>
    <col min="13068" max="13068" width="7" style="2042" customWidth="1"/>
    <col min="13069" max="13069" width="8" style="2042" customWidth="1"/>
    <col min="13070" max="13072" width="7.5703125" style="2042" customWidth="1"/>
    <col min="13073" max="13073" width="7" style="2042" customWidth="1"/>
    <col min="13074" max="13299" width="9.140625" style="2042"/>
    <col min="13300" max="13300" width="4.28515625" style="2042" customWidth="1"/>
    <col min="13301" max="13301" width="20.5703125" style="2042" customWidth="1"/>
    <col min="13302" max="13302" width="12.28515625" style="2042" customWidth="1"/>
    <col min="13303" max="13303" width="12.5703125" style="2042" customWidth="1"/>
    <col min="13304" max="13304" width="3.85546875" style="2042" customWidth="1"/>
    <col min="13305" max="13305" width="4.140625" style="2042" customWidth="1"/>
    <col min="13306" max="13307" width="4" style="2042" customWidth="1"/>
    <col min="13308" max="13308" width="16.28515625" style="2042" customWidth="1"/>
    <col min="13309" max="13309" width="5.5703125" style="2042" customWidth="1"/>
    <col min="13310" max="13310" width="8.5703125" style="2042" customWidth="1"/>
    <col min="13311" max="13311" width="5.28515625" style="2042" customWidth="1"/>
    <col min="13312" max="13312" width="4.28515625" style="2042" customWidth="1"/>
    <col min="13313" max="13313" width="4.140625" style="2042" customWidth="1"/>
    <col min="13314" max="13314" width="3" style="2042" customWidth="1"/>
    <col min="13315" max="13315" width="4.5703125" style="2042" customWidth="1"/>
    <col min="13316" max="13316" width="4.28515625" style="2042" customWidth="1"/>
    <col min="13317" max="13317" width="4" style="2042" customWidth="1"/>
    <col min="13318" max="13318" width="3" style="2042" customWidth="1"/>
    <col min="13319" max="13319" width="3.85546875" style="2042" customWidth="1"/>
    <col min="13320" max="13320" width="4.28515625" style="2042" customWidth="1"/>
    <col min="13321" max="13321" width="3.28515625" style="2042" customWidth="1"/>
    <col min="13322" max="13322" width="4.85546875" style="2042" customWidth="1"/>
    <col min="13323" max="13323" width="10.5703125" style="2042" customWidth="1"/>
    <col min="13324" max="13324" width="7" style="2042" customWidth="1"/>
    <col min="13325" max="13325" width="8" style="2042" customWidth="1"/>
    <col min="13326" max="13328" width="7.5703125" style="2042" customWidth="1"/>
    <col min="13329" max="13329" width="7" style="2042" customWidth="1"/>
    <col min="13330" max="13555" width="9.140625" style="2042"/>
    <col min="13556" max="13556" width="4.28515625" style="2042" customWidth="1"/>
    <col min="13557" max="13557" width="20.5703125" style="2042" customWidth="1"/>
    <col min="13558" max="13558" width="12.28515625" style="2042" customWidth="1"/>
    <col min="13559" max="13559" width="12.5703125" style="2042" customWidth="1"/>
    <col min="13560" max="13560" width="3.85546875" style="2042" customWidth="1"/>
    <col min="13561" max="13561" width="4.140625" style="2042" customWidth="1"/>
    <col min="13562" max="13563" width="4" style="2042" customWidth="1"/>
    <col min="13564" max="13564" width="16.28515625" style="2042" customWidth="1"/>
    <col min="13565" max="13565" width="5.5703125" style="2042" customWidth="1"/>
    <col min="13566" max="13566" width="8.5703125" style="2042" customWidth="1"/>
    <col min="13567" max="13567" width="5.28515625" style="2042" customWidth="1"/>
    <col min="13568" max="13568" width="4.28515625" style="2042" customWidth="1"/>
    <col min="13569" max="13569" width="4.140625" style="2042" customWidth="1"/>
    <col min="13570" max="13570" width="3" style="2042" customWidth="1"/>
    <col min="13571" max="13571" width="4.5703125" style="2042" customWidth="1"/>
    <col min="13572" max="13572" width="4.28515625" style="2042" customWidth="1"/>
    <col min="13573" max="13573" width="4" style="2042" customWidth="1"/>
    <col min="13574" max="13574" width="3" style="2042" customWidth="1"/>
    <col min="13575" max="13575" width="3.85546875" style="2042" customWidth="1"/>
    <col min="13576" max="13576" width="4.28515625" style="2042" customWidth="1"/>
    <col min="13577" max="13577" width="3.28515625" style="2042" customWidth="1"/>
    <col min="13578" max="13578" width="4.85546875" style="2042" customWidth="1"/>
    <col min="13579" max="13579" width="10.5703125" style="2042" customWidth="1"/>
    <col min="13580" max="13580" width="7" style="2042" customWidth="1"/>
    <col min="13581" max="13581" width="8" style="2042" customWidth="1"/>
    <col min="13582" max="13584" width="7.5703125" style="2042" customWidth="1"/>
    <col min="13585" max="13585" width="7" style="2042" customWidth="1"/>
    <col min="13586" max="13811" width="9.140625" style="2042"/>
    <col min="13812" max="13812" width="4.28515625" style="2042" customWidth="1"/>
    <col min="13813" max="13813" width="20.5703125" style="2042" customWidth="1"/>
    <col min="13814" max="13814" width="12.28515625" style="2042" customWidth="1"/>
    <col min="13815" max="13815" width="12.5703125" style="2042" customWidth="1"/>
    <col min="13816" max="13816" width="3.85546875" style="2042" customWidth="1"/>
    <col min="13817" max="13817" width="4.140625" style="2042" customWidth="1"/>
    <col min="13818" max="13819" width="4" style="2042" customWidth="1"/>
    <col min="13820" max="13820" width="16.28515625" style="2042" customWidth="1"/>
    <col min="13821" max="13821" width="5.5703125" style="2042" customWidth="1"/>
    <col min="13822" max="13822" width="8.5703125" style="2042" customWidth="1"/>
    <col min="13823" max="13823" width="5.28515625" style="2042" customWidth="1"/>
    <col min="13824" max="13824" width="4.28515625" style="2042" customWidth="1"/>
    <col min="13825" max="13825" width="4.140625" style="2042" customWidth="1"/>
    <col min="13826" max="13826" width="3" style="2042" customWidth="1"/>
    <col min="13827" max="13827" width="4.5703125" style="2042" customWidth="1"/>
    <col min="13828" max="13828" width="4.28515625" style="2042" customWidth="1"/>
    <col min="13829" max="13829" width="4" style="2042" customWidth="1"/>
    <col min="13830" max="13830" width="3" style="2042" customWidth="1"/>
    <col min="13831" max="13831" width="3.85546875" style="2042" customWidth="1"/>
    <col min="13832" max="13832" width="4.28515625" style="2042" customWidth="1"/>
    <col min="13833" max="13833" width="3.28515625" style="2042" customWidth="1"/>
    <col min="13834" max="13834" width="4.85546875" style="2042" customWidth="1"/>
    <col min="13835" max="13835" width="10.5703125" style="2042" customWidth="1"/>
    <col min="13836" max="13836" width="7" style="2042" customWidth="1"/>
    <col min="13837" max="13837" width="8" style="2042" customWidth="1"/>
    <col min="13838" max="13840" width="7.5703125" style="2042" customWidth="1"/>
    <col min="13841" max="13841" width="7" style="2042" customWidth="1"/>
    <col min="13842" max="14067" width="9.140625" style="2042"/>
    <col min="14068" max="14068" width="4.28515625" style="2042" customWidth="1"/>
    <col min="14069" max="14069" width="20.5703125" style="2042" customWidth="1"/>
    <col min="14070" max="14070" width="12.28515625" style="2042" customWidth="1"/>
    <col min="14071" max="14071" width="12.5703125" style="2042" customWidth="1"/>
    <col min="14072" max="14072" width="3.85546875" style="2042" customWidth="1"/>
    <col min="14073" max="14073" width="4.140625" style="2042" customWidth="1"/>
    <col min="14074" max="14075" width="4" style="2042" customWidth="1"/>
    <col min="14076" max="14076" width="16.28515625" style="2042" customWidth="1"/>
    <col min="14077" max="14077" width="5.5703125" style="2042" customWidth="1"/>
    <col min="14078" max="14078" width="8.5703125" style="2042" customWidth="1"/>
    <col min="14079" max="14079" width="5.28515625" style="2042" customWidth="1"/>
    <col min="14080" max="14080" width="4.28515625" style="2042" customWidth="1"/>
    <col min="14081" max="14081" width="4.140625" style="2042" customWidth="1"/>
    <col min="14082" max="14082" width="3" style="2042" customWidth="1"/>
    <col min="14083" max="14083" width="4.5703125" style="2042" customWidth="1"/>
    <col min="14084" max="14084" width="4.28515625" style="2042" customWidth="1"/>
    <col min="14085" max="14085" width="4" style="2042" customWidth="1"/>
    <col min="14086" max="14086" width="3" style="2042" customWidth="1"/>
    <col min="14087" max="14087" width="3.85546875" style="2042" customWidth="1"/>
    <col min="14088" max="14088" width="4.28515625" style="2042" customWidth="1"/>
    <col min="14089" max="14089" width="3.28515625" style="2042" customWidth="1"/>
    <col min="14090" max="14090" width="4.85546875" style="2042" customWidth="1"/>
    <col min="14091" max="14091" width="10.5703125" style="2042" customWidth="1"/>
    <col min="14092" max="14092" width="7" style="2042" customWidth="1"/>
    <col min="14093" max="14093" width="8" style="2042" customWidth="1"/>
    <col min="14094" max="14096" width="7.5703125" style="2042" customWidth="1"/>
    <col min="14097" max="14097" width="7" style="2042" customWidth="1"/>
    <col min="14098" max="14323" width="9.140625" style="2042"/>
    <col min="14324" max="14324" width="4.28515625" style="2042" customWidth="1"/>
    <col min="14325" max="14325" width="20.5703125" style="2042" customWidth="1"/>
    <col min="14326" max="14326" width="12.28515625" style="2042" customWidth="1"/>
    <col min="14327" max="14327" width="12.5703125" style="2042" customWidth="1"/>
    <col min="14328" max="14328" width="3.85546875" style="2042" customWidth="1"/>
    <col min="14329" max="14329" width="4.140625" style="2042" customWidth="1"/>
    <col min="14330" max="14331" width="4" style="2042" customWidth="1"/>
    <col min="14332" max="14332" width="16.28515625" style="2042" customWidth="1"/>
    <col min="14333" max="14333" width="5.5703125" style="2042" customWidth="1"/>
    <col min="14334" max="14334" width="8.5703125" style="2042" customWidth="1"/>
    <col min="14335" max="14335" width="5.28515625" style="2042" customWidth="1"/>
    <col min="14336" max="14336" width="4.28515625" style="2042" customWidth="1"/>
    <col min="14337" max="14337" width="4.140625" style="2042" customWidth="1"/>
    <col min="14338" max="14338" width="3" style="2042" customWidth="1"/>
    <col min="14339" max="14339" width="4.5703125" style="2042" customWidth="1"/>
    <col min="14340" max="14340" width="4.28515625" style="2042" customWidth="1"/>
    <col min="14341" max="14341" width="4" style="2042" customWidth="1"/>
    <col min="14342" max="14342" width="3" style="2042" customWidth="1"/>
    <col min="14343" max="14343" width="3.85546875" style="2042" customWidth="1"/>
    <col min="14344" max="14344" width="4.28515625" style="2042" customWidth="1"/>
    <col min="14345" max="14345" width="3.28515625" style="2042" customWidth="1"/>
    <col min="14346" max="14346" width="4.85546875" style="2042" customWidth="1"/>
    <col min="14347" max="14347" width="10.5703125" style="2042" customWidth="1"/>
    <col min="14348" max="14348" width="7" style="2042" customWidth="1"/>
    <col min="14349" max="14349" width="8" style="2042" customWidth="1"/>
    <col min="14350" max="14352" width="7.5703125" style="2042" customWidth="1"/>
    <col min="14353" max="14353" width="7" style="2042" customWidth="1"/>
    <col min="14354" max="14579" width="9.140625" style="2042"/>
    <col min="14580" max="14580" width="4.28515625" style="2042" customWidth="1"/>
    <col min="14581" max="14581" width="20.5703125" style="2042" customWidth="1"/>
    <col min="14582" max="14582" width="12.28515625" style="2042" customWidth="1"/>
    <col min="14583" max="14583" width="12.5703125" style="2042" customWidth="1"/>
    <col min="14584" max="14584" width="3.85546875" style="2042" customWidth="1"/>
    <col min="14585" max="14585" width="4.140625" style="2042" customWidth="1"/>
    <col min="14586" max="14587" width="4" style="2042" customWidth="1"/>
    <col min="14588" max="14588" width="16.28515625" style="2042" customWidth="1"/>
    <col min="14589" max="14589" width="5.5703125" style="2042" customWidth="1"/>
    <col min="14590" max="14590" width="8.5703125" style="2042" customWidth="1"/>
    <col min="14591" max="14591" width="5.28515625" style="2042" customWidth="1"/>
    <col min="14592" max="14592" width="4.28515625" style="2042" customWidth="1"/>
    <col min="14593" max="14593" width="4.140625" style="2042" customWidth="1"/>
    <col min="14594" max="14594" width="3" style="2042" customWidth="1"/>
    <col min="14595" max="14595" width="4.5703125" style="2042" customWidth="1"/>
    <col min="14596" max="14596" width="4.28515625" style="2042" customWidth="1"/>
    <col min="14597" max="14597" width="4" style="2042" customWidth="1"/>
    <col min="14598" max="14598" width="3" style="2042" customWidth="1"/>
    <col min="14599" max="14599" width="3.85546875" style="2042" customWidth="1"/>
    <col min="14600" max="14600" width="4.28515625" style="2042" customWidth="1"/>
    <col min="14601" max="14601" width="3.28515625" style="2042" customWidth="1"/>
    <col min="14602" max="14602" width="4.85546875" style="2042" customWidth="1"/>
    <col min="14603" max="14603" width="10.5703125" style="2042" customWidth="1"/>
    <col min="14604" max="14604" width="7" style="2042" customWidth="1"/>
    <col min="14605" max="14605" width="8" style="2042" customWidth="1"/>
    <col min="14606" max="14608" width="7.5703125" style="2042" customWidth="1"/>
    <col min="14609" max="14609" width="7" style="2042" customWidth="1"/>
    <col min="14610" max="14835" width="9.140625" style="2042"/>
    <col min="14836" max="14836" width="4.28515625" style="2042" customWidth="1"/>
    <col min="14837" max="14837" width="20.5703125" style="2042" customWidth="1"/>
    <col min="14838" max="14838" width="12.28515625" style="2042" customWidth="1"/>
    <col min="14839" max="14839" width="12.5703125" style="2042" customWidth="1"/>
    <col min="14840" max="14840" width="3.85546875" style="2042" customWidth="1"/>
    <col min="14841" max="14841" width="4.140625" style="2042" customWidth="1"/>
    <col min="14842" max="14843" width="4" style="2042" customWidth="1"/>
    <col min="14844" max="14844" width="16.28515625" style="2042" customWidth="1"/>
    <col min="14845" max="14845" width="5.5703125" style="2042" customWidth="1"/>
    <col min="14846" max="14846" width="8.5703125" style="2042" customWidth="1"/>
    <col min="14847" max="14847" width="5.28515625" style="2042" customWidth="1"/>
    <col min="14848" max="14848" width="4.28515625" style="2042" customWidth="1"/>
    <col min="14849" max="14849" width="4.140625" style="2042" customWidth="1"/>
    <col min="14850" max="14850" width="3" style="2042" customWidth="1"/>
    <col min="14851" max="14851" width="4.5703125" style="2042" customWidth="1"/>
    <col min="14852" max="14852" width="4.28515625" style="2042" customWidth="1"/>
    <col min="14853" max="14853" width="4" style="2042" customWidth="1"/>
    <col min="14854" max="14854" width="3" style="2042" customWidth="1"/>
    <col min="14855" max="14855" width="3.85546875" style="2042" customWidth="1"/>
    <col min="14856" max="14856" width="4.28515625" style="2042" customWidth="1"/>
    <col min="14857" max="14857" width="3.28515625" style="2042" customWidth="1"/>
    <col min="14858" max="14858" width="4.85546875" style="2042" customWidth="1"/>
    <col min="14859" max="14859" width="10.5703125" style="2042" customWidth="1"/>
    <col min="14860" max="14860" width="7" style="2042" customWidth="1"/>
    <col min="14861" max="14861" width="8" style="2042" customWidth="1"/>
    <col min="14862" max="14864" width="7.5703125" style="2042" customWidth="1"/>
    <col min="14865" max="14865" width="7" style="2042" customWidth="1"/>
    <col min="14866" max="15091" width="9.140625" style="2042"/>
    <col min="15092" max="15092" width="4.28515625" style="2042" customWidth="1"/>
    <col min="15093" max="15093" width="20.5703125" style="2042" customWidth="1"/>
    <col min="15094" max="15094" width="12.28515625" style="2042" customWidth="1"/>
    <col min="15095" max="15095" width="12.5703125" style="2042" customWidth="1"/>
    <col min="15096" max="15096" width="3.85546875" style="2042" customWidth="1"/>
    <col min="15097" max="15097" width="4.140625" style="2042" customWidth="1"/>
    <col min="15098" max="15099" width="4" style="2042" customWidth="1"/>
    <col min="15100" max="15100" width="16.28515625" style="2042" customWidth="1"/>
    <col min="15101" max="15101" width="5.5703125" style="2042" customWidth="1"/>
    <col min="15102" max="15102" width="8.5703125" style="2042" customWidth="1"/>
    <col min="15103" max="15103" width="5.28515625" style="2042" customWidth="1"/>
    <col min="15104" max="15104" width="4.28515625" style="2042" customWidth="1"/>
    <col min="15105" max="15105" width="4.140625" style="2042" customWidth="1"/>
    <col min="15106" max="15106" width="3" style="2042" customWidth="1"/>
    <col min="15107" max="15107" width="4.5703125" style="2042" customWidth="1"/>
    <col min="15108" max="15108" width="4.28515625" style="2042" customWidth="1"/>
    <col min="15109" max="15109" width="4" style="2042" customWidth="1"/>
    <col min="15110" max="15110" width="3" style="2042" customWidth="1"/>
    <col min="15111" max="15111" width="3.85546875" style="2042" customWidth="1"/>
    <col min="15112" max="15112" width="4.28515625" style="2042" customWidth="1"/>
    <col min="15113" max="15113" width="3.28515625" style="2042" customWidth="1"/>
    <col min="15114" max="15114" width="4.85546875" style="2042" customWidth="1"/>
    <col min="15115" max="15115" width="10.5703125" style="2042" customWidth="1"/>
    <col min="15116" max="15116" width="7" style="2042" customWidth="1"/>
    <col min="15117" max="15117" width="8" style="2042" customWidth="1"/>
    <col min="15118" max="15120" width="7.5703125" style="2042" customWidth="1"/>
    <col min="15121" max="15121" width="7" style="2042" customWidth="1"/>
    <col min="15122" max="15347" width="9.140625" style="2042"/>
    <col min="15348" max="15348" width="4.28515625" style="2042" customWidth="1"/>
    <col min="15349" max="15349" width="20.5703125" style="2042" customWidth="1"/>
    <col min="15350" max="15350" width="12.28515625" style="2042" customWidth="1"/>
    <col min="15351" max="15351" width="12.5703125" style="2042" customWidth="1"/>
    <col min="15352" max="15352" width="3.85546875" style="2042" customWidth="1"/>
    <col min="15353" max="15353" width="4.140625" style="2042" customWidth="1"/>
    <col min="15354" max="15355" width="4" style="2042" customWidth="1"/>
    <col min="15356" max="15356" width="16.28515625" style="2042" customWidth="1"/>
    <col min="15357" max="15357" width="5.5703125" style="2042" customWidth="1"/>
    <col min="15358" max="15358" width="8.5703125" style="2042" customWidth="1"/>
    <col min="15359" max="15359" width="5.28515625" style="2042" customWidth="1"/>
    <col min="15360" max="15360" width="4.28515625" style="2042" customWidth="1"/>
    <col min="15361" max="15361" width="4.140625" style="2042" customWidth="1"/>
    <col min="15362" max="15362" width="3" style="2042" customWidth="1"/>
    <col min="15363" max="15363" width="4.5703125" style="2042" customWidth="1"/>
    <col min="15364" max="15364" width="4.28515625" style="2042" customWidth="1"/>
    <col min="15365" max="15365" width="4" style="2042" customWidth="1"/>
    <col min="15366" max="15366" width="3" style="2042" customWidth="1"/>
    <col min="15367" max="15367" width="3.85546875" style="2042" customWidth="1"/>
    <col min="15368" max="15368" width="4.28515625" style="2042" customWidth="1"/>
    <col min="15369" max="15369" width="3.28515625" style="2042" customWidth="1"/>
    <col min="15370" max="15370" width="4.85546875" style="2042" customWidth="1"/>
    <col min="15371" max="15371" width="10.5703125" style="2042" customWidth="1"/>
    <col min="15372" max="15372" width="7" style="2042" customWidth="1"/>
    <col min="15373" max="15373" width="8" style="2042" customWidth="1"/>
    <col min="15374" max="15376" width="7.5703125" style="2042" customWidth="1"/>
    <col min="15377" max="15377" width="7" style="2042" customWidth="1"/>
    <col min="15378" max="15603" width="9.140625" style="2042"/>
    <col min="15604" max="15604" width="4.28515625" style="2042" customWidth="1"/>
    <col min="15605" max="15605" width="20.5703125" style="2042" customWidth="1"/>
    <col min="15606" max="15606" width="12.28515625" style="2042" customWidth="1"/>
    <col min="15607" max="15607" width="12.5703125" style="2042" customWidth="1"/>
    <col min="15608" max="15608" width="3.85546875" style="2042" customWidth="1"/>
    <col min="15609" max="15609" width="4.140625" style="2042" customWidth="1"/>
    <col min="15610" max="15611" width="4" style="2042" customWidth="1"/>
    <col min="15612" max="15612" width="16.28515625" style="2042" customWidth="1"/>
    <col min="15613" max="15613" width="5.5703125" style="2042" customWidth="1"/>
    <col min="15614" max="15614" width="8.5703125" style="2042" customWidth="1"/>
    <col min="15615" max="15615" width="5.28515625" style="2042" customWidth="1"/>
    <col min="15616" max="15616" width="4.28515625" style="2042" customWidth="1"/>
    <col min="15617" max="15617" width="4.140625" style="2042" customWidth="1"/>
    <col min="15618" max="15618" width="3" style="2042" customWidth="1"/>
    <col min="15619" max="15619" width="4.5703125" style="2042" customWidth="1"/>
    <col min="15620" max="15620" width="4.28515625" style="2042" customWidth="1"/>
    <col min="15621" max="15621" width="4" style="2042" customWidth="1"/>
    <col min="15622" max="15622" width="3" style="2042" customWidth="1"/>
    <col min="15623" max="15623" width="3.85546875" style="2042" customWidth="1"/>
    <col min="15624" max="15624" width="4.28515625" style="2042" customWidth="1"/>
    <col min="15625" max="15625" width="3.28515625" style="2042" customWidth="1"/>
    <col min="15626" max="15626" width="4.85546875" style="2042" customWidth="1"/>
    <col min="15627" max="15627" width="10.5703125" style="2042" customWidth="1"/>
    <col min="15628" max="15628" width="7" style="2042" customWidth="1"/>
    <col min="15629" max="15629" width="8" style="2042" customWidth="1"/>
    <col min="15630" max="15632" width="7.5703125" style="2042" customWidth="1"/>
    <col min="15633" max="15633" width="7" style="2042" customWidth="1"/>
    <col min="15634" max="15859" width="9.140625" style="2042"/>
    <col min="15860" max="15860" width="4.28515625" style="2042" customWidth="1"/>
    <col min="15861" max="15861" width="20.5703125" style="2042" customWidth="1"/>
    <col min="15862" max="15862" width="12.28515625" style="2042" customWidth="1"/>
    <col min="15863" max="15863" width="12.5703125" style="2042" customWidth="1"/>
    <col min="15864" max="15864" width="3.85546875" style="2042" customWidth="1"/>
    <col min="15865" max="15865" width="4.140625" style="2042" customWidth="1"/>
    <col min="15866" max="15867" width="4" style="2042" customWidth="1"/>
    <col min="15868" max="15868" width="16.28515625" style="2042" customWidth="1"/>
    <col min="15869" max="15869" width="5.5703125" style="2042" customWidth="1"/>
    <col min="15870" max="15870" width="8.5703125" style="2042" customWidth="1"/>
    <col min="15871" max="15871" width="5.28515625" style="2042" customWidth="1"/>
    <col min="15872" max="15872" width="4.28515625" style="2042" customWidth="1"/>
    <col min="15873" max="15873" width="4.140625" style="2042" customWidth="1"/>
    <col min="15874" max="15874" width="3" style="2042" customWidth="1"/>
    <col min="15875" max="15875" width="4.5703125" style="2042" customWidth="1"/>
    <col min="15876" max="15876" width="4.28515625" style="2042" customWidth="1"/>
    <col min="15877" max="15877" width="4" style="2042" customWidth="1"/>
    <col min="15878" max="15878" width="3" style="2042" customWidth="1"/>
    <col min="15879" max="15879" width="3.85546875" style="2042" customWidth="1"/>
    <col min="15880" max="15880" width="4.28515625" style="2042" customWidth="1"/>
    <col min="15881" max="15881" width="3.28515625" style="2042" customWidth="1"/>
    <col min="15882" max="15882" width="4.85546875" style="2042" customWidth="1"/>
    <col min="15883" max="15883" width="10.5703125" style="2042" customWidth="1"/>
    <col min="15884" max="15884" width="7" style="2042" customWidth="1"/>
    <col min="15885" max="15885" width="8" style="2042" customWidth="1"/>
    <col min="15886" max="15888" width="7.5703125" style="2042" customWidth="1"/>
    <col min="15889" max="15889" width="7" style="2042" customWidth="1"/>
    <col min="15890" max="16115" width="9.140625" style="2042"/>
    <col min="16116" max="16116" width="4.28515625" style="2042" customWidth="1"/>
    <col min="16117" max="16117" width="20.5703125" style="2042" customWidth="1"/>
    <col min="16118" max="16118" width="12.28515625" style="2042" customWidth="1"/>
    <col min="16119" max="16119" width="12.5703125" style="2042" customWidth="1"/>
    <col min="16120" max="16120" width="3.85546875" style="2042" customWidth="1"/>
    <col min="16121" max="16121" width="4.140625" style="2042" customWidth="1"/>
    <col min="16122" max="16123" width="4" style="2042" customWidth="1"/>
    <col min="16124" max="16124" width="16.28515625" style="2042" customWidth="1"/>
    <col min="16125" max="16125" width="5.5703125" style="2042" customWidth="1"/>
    <col min="16126" max="16126" width="8.5703125" style="2042" customWidth="1"/>
    <col min="16127" max="16127" width="5.28515625" style="2042" customWidth="1"/>
    <col min="16128" max="16128" width="4.28515625" style="2042" customWidth="1"/>
    <col min="16129" max="16129" width="4.140625" style="2042" customWidth="1"/>
    <col min="16130" max="16130" width="3" style="2042" customWidth="1"/>
    <col min="16131" max="16131" width="4.5703125" style="2042" customWidth="1"/>
    <col min="16132" max="16132" width="4.28515625" style="2042" customWidth="1"/>
    <col min="16133" max="16133" width="4" style="2042" customWidth="1"/>
    <col min="16134" max="16134" width="3" style="2042" customWidth="1"/>
    <col min="16135" max="16135" width="3.85546875" style="2042" customWidth="1"/>
    <col min="16136" max="16136" width="4.28515625" style="2042" customWidth="1"/>
    <col min="16137" max="16137" width="3.28515625" style="2042" customWidth="1"/>
    <col min="16138" max="16138" width="4.85546875" style="2042" customWidth="1"/>
    <col min="16139" max="16139" width="10.5703125" style="2042" customWidth="1"/>
    <col min="16140" max="16140" width="7" style="2042" customWidth="1"/>
    <col min="16141" max="16141" width="8" style="2042" customWidth="1"/>
    <col min="16142" max="16144" width="7.5703125" style="2042" customWidth="1"/>
    <col min="16145" max="16145" width="7" style="2042" customWidth="1"/>
    <col min="16146" max="16384" width="9.140625" style="2042"/>
  </cols>
  <sheetData>
    <row r="1" spans="1:31">
      <c r="D1" s="3325" t="s">
        <v>2283</v>
      </c>
      <c r="E1" s="3325"/>
      <c r="F1" s="3325"/>
      <c r="G1" s="3325"/>
      <c r="H1" s="3325"/>
      <c r="I1" s="3325"/>
      <c r="J1" s="3325"/>
      <c r="K1" s="3325"/>
      <c r="L1" s="3325"/>
      <c r="M1" s="3325"/>
      <c r="N1" s="3325"/>
      <c r="O1" s="3325"/>
      <c r="P1" s="3325"/>
      <c r="Q1" s="3325"/>
      <c r="R1" s="3325"/>
      <c r="S1" s="3325"/>
      <c r="T1" s="3325"/>
      <c r="U1" s="3325"/>
      <c r="V1" s="3325"/>
      <c r="W1" s="3325"/>
      <c r="X1" s="3325"/>
      <c r="Y1" s="3325"/>
      <c r="Z1" s="3325"/>
      <c r="AA1" s="3325"/>
      <c r="AB1" s="3325"/>
    </row>
    <row r="2" spans="1:31">
      <c r="D2" s="2043" t="s">
        <v>0</v>
      </c>
      <c r="E2" s="2042" t="s">
        <v>1</v>
      </c>
      <c r="G2" s="2044" t="s">
        <v>238</v>
      </c>
      <c r="J2" s="2045"/>
      <c r="M2" s="2046"/>
    </row>
    <row r="3" spans="1:31">
      <c r="D3" s="2047" t="s">
        <v>2</v>
      </c>
      <c r="E3" s="2048"/>
      <c r="F3" s="2048"/>
      <c r="G3" s="2048"/>
      <c r="H3" s="2048"/>
      <c r="I3" s="2048"/>
      <c r="J3" s="2048"/>
      <c r="K3" s="2048"/>
      <c r="L3" s="2048"/>
      <c r="M3" s="2046"/>
      <c r="N3" s="2048"/>
      <c r="O3" s="2048"/>
      <c r="P3" s="2048"/>
      <c r="Q3" s="2048"/>
      <c r="R3" s="2048"/>
      <c r="S3" s="2048"/>
      <c r="T3" s="2048"/>
      <c r="U3" s="2048"/>
      <c r="V3" s="2048"/>
    </row>
    <row r="4" spans="1:31">
      <c r="D4" s="2047" t="s">
        <v>2284</v>
      </c>
      <c r="E4" s="2048"/>
      <c r="F4" s="2048"/>
      <c r="G4" s="2048"/>
      <c r="H4" s="2048"/>
      <c r="I4" s="2048"/>
      <c r="J4" s="2048"/>
      <c r="K4" s="2048"/>
      <c r="R4" s="2048"/>
      <c r="S4" s="2048"/>
      <c r="T4" s="2048"/>
      <c r="U4" s="2048"/>
      <c r="V4" s="2048"/>
    </row>
    <row r="5" spans="1:31">
      <c r="D5" s="2050" t="s">
        <v>2285</v>
      </c>
      <c r="E5" s="2048"/>
      <c r="F5" s="2048"/>
      <c r="G5" s="2048"/>
      <c r="H5" s="2048"/>
      <c r="I5" s="2048"/>
      <c r="J5" s="2048"/>
      <c r="K5" s="2048" t="s">
        <v>3</v>
      </c>
      <c r="M5" s="2051" t="s">
        <v>241</v>
      </c>
      <c r="N5" s="2052" t="s">
        <v>2286</v>
      </c>
      <c r="O5" s="812"/>
      <c r="R5" s="2048"/>
      <c r="S5" s="2048"/>
      <c r="T5" s="2048"/>
      <c r="U5" s="2048"/>
      <c r="V5" s="2048"/>
      <c r="AA5" s="2053" t="s">
        <v>2287</v>
      </c>
      <c r="AB5" s="2053" t="s">
        <v>2288</v>
      </c>
      <c r="AC5" s="2053" t="s">
        <v>2289</v>
      </c>
      <c r="AD5" s="2053" t="s">
        <v>2290</v>
      </c>
      <c r="AE5" s="2053" t="s">
        <v>2291</v>
      </c>
    </row>
    <row r="6" spans="1:31" ht="73.3" customHeight="1">
      <c r="D6" s="2054" t="s">
        <v>4</v>
      </c>
      <c r="E6" s="2048"/>
      <c r="F6" s="2048"/>
      <c r="G6" s="2048" t="s">
        <v>5</v>
      </c>
      <c r="H6" s="2048"/>
      <c r="I6" s="2048"/>
      <c r="J6" s="2048"/>
      <c r="K6" s="2048"/>
      <c r="M6" s="2055">
        <v>23</v>
      </c>
      <c r="N6" s="2056">
        <f>SUM(N10:N161)</f>
        <v>3311710</v>
      </c>
      <c r="O6" s="2057">
        <f>O12+O25+O31+O45+O53+O62+O65+O70+O74+O77+O80+O87+O90+O97+O102+O104+O107+O116+O121+O123+O125+O130+O133</f>
        <v>143250</v>
      </c>
      <c r="P6" s="2057">
        <f t="shared" ref="P6:Z6" si="0">P12+P25+P31+P45+P53+P62+P65+P70+P74+P77+P80+P87+P90+P97+P102+P104+P107+P116+P121+P123+P125+P130+P133</f>
        <v>467060</v>
      </c>
      <c r="Q6" s="2057">
        <f t="shared" si="0"/>
        <v>96700</v>
      </c>
      <c r="R6" s="2057">
        <f t="shared" si="0"/>
        <v>444750</v>
      </c>
      <c r="S6" s="2057">
        <f t="shared" si="0"/>
        <v>106250</v>
      </c>
      <c r="T6" s="2057">
        <f t="shared" si="0"/>
        <v>817250</v>
      </c>
      <c r="U6" s="2057">
        <f t="shared" si="0"/>
        <v>292550</v>
      </c>
      <c r="V6" s="2057">
        <f t="shared" si="0"/>
        <v>201550</v>
      </c>
      <c r="W6" s="2057">
        <f t="shared" si="0"/>
        <v>101350</v>
      </c>
      <c r="X6" s="2057">
        <f t="shared" si="0"/>
        <v>68550</v>
      </c>
      <c r="Y6" s="2057">
        <f t="shared" si="0"/>
        <v>539750</v>
      </c>
      <c r="Z6" s="2057">
        <f t="shared" si="0"/>
        <v>32700</v>
      </c>
      <c r="AA6" s="2058">
        <f>N12+N45+N53+N62+N65+N70+N74+N77+N87+N90+N97+N102+N104+N116</f>
        <v>609300</v>
      </c>
      <c r="AB6" s="2058">
        <f>N121+N123</f>
        <v>570000</v>
      </c>
      <c r="AC6" s="2059"/>
      <c r="AD6" s="2058">
        <f>N25+N31+N80+N130</f>
        <v>1198100</v>
      </c>
      <c r="AE6" s="2058">
        <f>N133+N107+N125</f>
        <v>934310</v>
      </c>
    </row>
    <row r="7" spans="1:31" ht="17.149999999999999">
      <c r="E7" s="2048"/>
      <c r="F7" s="2048"/>
      <c r="G7" s="2048" t="s">
        <v>3</v>
      </c>
      <c r="H7" s="2048"/>
      <c r="I7" s="2048"/>
      <c r="J7" s="2048"/>
      <c r="K7" s="2048"/>
      <c r="N7" s="812"/>
      <c r="O7" s="435"/>
      <c r="P7" s="435"/>
      <c r="Q7" s="435">
        <f>O6+P6+Q6</f>
        <v>707010</v>
      </c>
      <c r="R7" s="435"/>
      <c r="S7" s="435"/>
      <c r="T7" s="435">
        <f>R6+S6+T6</f>
        <v>1368250</v>
      </c>
      <c r="U7" s="435"/>
      <c r="V7" s="435"/>
      <c r="W7" s="435">
        <f>U6+V6+W6</f>
        <v>595450</v>
      </c>
      <c r="X7" s="435"/>
      <c r="Y7" s="435"/>
      <c r="Z7" s="435">
        <f>X6+Y6+Z6</f>
        <v>641000</v>
      </c>
    </row>
    <row r="8" spans="1:31">
      <c r="A8" s="2061" t="s">
        <v>34</v>
      </c>
      <c r="B8" s="2062"/>
      <c r="C8" s="2063"/>
      <c r="D8" s="3326" t="s">
        <v>6</v>
      </c>
      <c r="E8" s="3329" t="s">
        <v>7</v>
      </c>
      <c r="F8" s="3329" t="s">
        <v>8</v>
      </c>
      <c r="G8" s="3329" t="s">
        <v>9</v>
      </c>
      <c r="H8" s="3332" t="s">
        <v>10</v>
      </c>
      <c r="I8" s="3333"/>
      <c r="J8" s="3333"/>
      <c r="K8" s="3334"/>
      <c r="L8" s="3338" t="s">
        <v>11</v>
      </c>
      <c r="M8" s="3339"/>
      <c r="N8" s="3342" t="s">
        <v>12</v>
      </c>
      <c r="O8" s="3324" t="s">
        <v>13</v>
      </c>
      <c r="P8" s="3324"/>
      <c r="Q8" s="3324"/>
      <c r="R8" s="3324"/>
      <c r="S8" s="3324"/>
      <c r="T8" s="3324"/>
      <c r="U8" s="3324"/>
      <c r="V8" s="3324"/>
      <c r="W8" s="3324"/>
      <c r="X8" s="3324"/>
      <c r="Y8" s="3324"/>
      <c r="Z8" s="3324"/>
      <c r="AA8" s="3329" t="s">
        <v>14</v>
      </c>
      <c r="AB8" s="3322" t="s">
        <v>15</v>
      </c>
      <c r="AC8" s="3323" t="s">
        <v>2292</v>
      </c>
      <c r="AD8" s="3323"/>
      <c r="AE8" s="3323"/>
    </row>
    <row r="9" spans="1:31">
      <c r="A9" s="2064"/>
      <c r="B9" s="2065"/>
      <c r="C9" s="2066"/>
      <c r="D9" s="3327"/>
      <c r="E9" s="3330"/>
      <c r="F9" s="3330"/>
      <c r="G9" s="3330"/>
      <c r="H9" s="3335"/>
      <c r="I9" s="3336"/>
      <c r="J9" s="3336"/>
      <c r="K9" s="3337"/>
      <c r="L9" s="3340"/>
      <c r="M9" s="3341"/>
      <c r="N9" s="3343"/>
      <c r="O9" s="3324" t="s">
        <v>16</v>
      </c>
      <c r="P9" s="3324"/>
      <c r="Q9" s="3324"/>
      <c r="R9" s="3324" t="s">
        <v>17</v>
      </c>
      <c r="S9" s="3324"/>
      <c r="T9" s="3324"/>
      <c r="U9" s="3324" t="s">
        <v>18</v>
      </c>
      <c r="V9" s="3324"/>
      <c r="W9" s="3324"/>
      <c r="X9" s="3324" t="s">
        <v>19</v>
      </c>
      <c r="Y9" s="3324"/>
      <c r="Z9" s="3324"/>
      <c r="AA9" s="3330"/>
      <c r="AB9" s="3322"/>
      <c r="AC9" s="2067" t="s">
        <v>269</v>
      </c>
      <c r="AD9" s="2067" t="s">
        <v>35</v>
      </c>
      <c r="AE9" s="2067" t="s">
        <v>37</v>
      </c>
    </row>
    <row r="10" spans="1:31">
      <c r="A10" s="2068" t="s">
        <v>36</v>
      </c>
      <c r="B10" s="2068" t="s">
        <v>35</v>
      </c>
      <c r="C10" s="2068" t="s">
        <v>37</v>
      </c>
      <c r="D10" s="3328"/>
      <c r="E10" s="3331"/>
      <c r="F10" s="3331"/>
      <c r="G10" s="3331"/>
      <c r="H10" s="800">
        <v>1</v>
      </c>
      <c r="I10" s="800">
        <v>2</v>
      </c>
      <c r="J10" s="800">
        <v>3</v>
      </c>
      <c r="K10" s="800">
        <v>4</v>
      </c>
      <c r="L10" s="2069" t="s">
        <v>20</v>
      </c>
      <c r="M10" s="2070" t="s">
        <v>21</v>
      </c>
      <c r="N10" s="3344"/>
      <c r="O10" s="2071" t="s">
        <v>22</v>
      </c>
      <c r="P10" s="2071" t="s">
        <v>23</v>
      </c>
      <c r="Q10" s="2071" t="s">
        <v>24</v>
      </c>
      <c r="R10" s="2071" t="s">
        <v>25</v>
      </c>
      <c r="S10" s="2071" t="s">
        <v>26</v>
      </c>
      <c r="T10" s="2071" t="s">
        <v>27</v>
      </c>
      <c r="U10" s="2071" t="s">
        <v>28</v>
      </c>
      <c r="V10" s="2071" t="s">
        <v>29</v>
      </c>
      <c r="W10" s="2071" t="s">
        <v>30</v>
      </c>
      <c r="X10" s="2071" t="s">
        <v>31</v>
      </c>
      <c r="Y10" s="2071" t="s">
        <v>32</v>
      </c>
      <c r="Z10" s="2071" t="s">
        <v>33</v>
      </c>
      <c r="AA10" s="3331"/>
      <c r="AB10" s="3322"/>
      <c r="AC10" s="2072"/>
      <c r="AD10" s="2072"/>
      <c r="AE10" s="2072"/>
    </row>
    <row r="11" spans="1:31">
      <c r="A11" s="2068"/>
      <c r="B11" s="2068"/>
      <c r="C11" s="2068"/>
      <c r="D11" s="804"/>
      <c r="E11" s="2073"/>
      <c r="F11" s="2073"/>
      <c r="G11" s="2073"/>
      <c r="H11" s="2073"/>
      <c r="I11" s="2073"/>
      <c r="J11" s="2073"/>
      <c r="K11" s="2073"/>
      <c r="L11" s="2071"/>
      <c r="M11" s="2074"/>
      <c r="N11" s="2075"/>
      <c r="O11" s="2071"/>
      <c r="P11" s="2071"/>
      <c r="Q11" s="2071"/>
      <c r="R11" s="2071"/>
      <c r="S11" s="2071"/>
      <c r="T11" s="2071"/>
      <c r="U11" s="2071"/>
      <c r="V11" s="2071"/>
      <c r="W11" s="2071"/>
      <c r="X11" s="2071"/>
      <c r="Y11" s="2071"/>
      <c r="Z11" s="2071"/>
      <c r="AA11" s="2073"/>
      <c r="AB11" s="805" t="s">
        <v>15</v>
      </c>
    </row>
    <row r="12" spans="1:31">
      <c r="A12" s="2076">
        <v>4</v>
      </c>
      <c r="B12" s="2076">
        <v>11</v>
      </c>
      <c r="C12" s="2076">
        <v>33</v>
      </c>
      <c r="D12" s="2077">
        <v>1</v>
      </c>
      <c r="E12" s="2078" t="s">
        <v>2293</v>
      </c>
      <c r="F12" s="2079"/>
      <c r="G12" s="2079"/>
      <c r="H12" s="2080"/>
      <c r="I12" s="2080"/>
      <c r="J12" s="2080"/>
      <c r="K12" s="2080"/>
      <c r="L12" s="2081"/>
      <c r="M12" s="2082"/>
      <c r="N12" s="2083">
        <f>SUM(M13:M24)</f>
        <v>43200</v>
      </c>
      <c r="O12" s="2084">
        <f>SUM(O13:O24)</f>
        <v>16800</v>
      </c>
      <c r="P12" s="2084">
        <f t="shared" ref="P12:Z12" si="1">SUM(P13:P24)</f>
        <v>26400</v>
      </c>
      <c r="Q12" s="2084">
        <f t="shared" si="1"/>
        <v>0</v>
      </c>
      <c r="R12" s="2084">
        <f t="shared" si="1"/>
        <v>0</v>
      </c>
      <c r="S12" s="2084">
        <f t="shared" si="1"/>
        <v>0</v>
      </c>
      <c r="T12" s="2084">
        <f t="shared" si="1"/>
        <v>0</v>
      </c>
      <c r="U12" s="2084">
        <f t="shared" si="1"/>
        <v>0</v>
      </c>
      <c r="V12" s="2084">
        <f t="shared" si="1"/>
        <v>0</v>
      </c>
      <c r="W12" s="2084">
        <f t="shared" si="1"/>
        <v>0</v>
      </c>
      <c r="X12" s="2084">
        <f t="shared" si="1"/>
        <v>0</v>
      </c>
      <c r="Y12" s="2084">
        <f t="shared" si="1"/>
        <v>0</v>
      </c>
      <c r="Z12" s="2084">
        <f t="shared" si="1"/>
        <v>0</v>
      </c>
      <c r="AA12" s="2080" t="s">
        <v>2294</v>
      </c>
      <c r="AB12" s="2085" t="s">
        <v>280</v>
      </c>
      <c r="AC12" s="2042">
        <v>4</v>
      </c>
      <c r="AD12" s="2042">
        <v>11</v>
      </c>
      <c r="AE12" s="2042">
        <v>33</v>
      </c>
    </row>
    <row r="13" spans="1:31" s="2093" customFormat="1" ht="54.9">
      <c r="A13" s="2060"/>
      <c r="B13" s="2060"/>
      <c r="C13" s="2060"/>
      <c r="D13" s="2086"/>
      <c r="E13" s="2087" t="s">
        <v>2295</v>
      </c>
      <c r="F13" s="2087" t="s">
        <v>2296</v>
      </c>
      <c r="G13" s="2087" t="s">
        <v>2297</v>
      </c>
      <c r="H13" s="2069" t="s">
        <v>768</v>
      </c>
      <c r="I13" s="2069"/>
      <c r="J13" s="2069"/>
      <c r="K13" s="2088"/>
      <c r="L13" s="2089" t="s">
        <v>2298</v>
      </c>
      <c r="M13" s="2070">
        <f>70*30*4</f>
        <v>8400</v>
      </c>
      <c r="N13" s="2090"/>
      <c r="O13" s="2091"/>
      <c r="P13" s="2092">
        <v>8400</v>
      </c>
      <c r="Q13" s="2092"/>
      <c r="R13" s="2092"/>
      <c r="S13" s="2092"/>
      <c r="T13" s="2092"/>
      <c r="U13" s="2092"/>
      <c r="V13" s="2092"/>
      <c r="W13" s="2092"/>
      <c r="X13" s="2092"/>
      <c r="Y13" s="2092"/>
      <c r="Z13" s="2092"/>
      <c r="AA13" s="810"/>
      <c r="AB13" s="810"/>
    </row>
    <row r="14" spans="1:31" s="2093" customFormat="1" ht="45">
      <c r="A14" s="2060"/>
      <c r="B14" s="2060"/>
      <c r="C14" s="2060"/>
      <c r="D14" s="2094"/>
      <c r="E14" s="2095"/>
      <c r="F14" s="2096"/>
      <c r="G14" s="2095"/>
      <c r="H14" s="2069"/>
      <c r="I14" s="2069"/>
      <c r="J14" s="2069"/>
      <c r="K14" s="2088"/>
      <c r="L14" s="2089" t="s">
        <v>2299</v>
      </c>
      <c r="M14" s="2070">
        <f>25*2*30*4</f>
        <v>6000</v>
      </c>
      <c r="N14" s="2090"/>
      <c r="O14" s="2091"/>
      <c r="P14" s="2092">
        <v>6000</v>
      </c>
      <c r="Q14" s="2092"/>
      <c r="R14" s="2092"/>
      <c r="S14" s="2092"/>
      <c r="T14" s="2092"/>
      <c r="U14" s="2092"/>
      <c r="V14" s="2092"/>
      <c r="W14" s="2092"/>
      <c r="X14" s="2092"/>
      <c r="Y14" s="2092"/>
      <c r="Z14" s="2092"/>
      <c r="AA14" s="810"/>
      <c r="AB14" s="810"/>
    </row>
    <row r="15" spans="1:31" s="2093" customFormat="1" ht="82.3" customHeight="1">
      <c r="A15" s="2060"/>
      <c r="B15" s="2060"/>
      <c r="C15" s="2060"/>
      <c r="D15" s="2094"/>
      <c r="E15" s="2096" t="s">
        <v>2300</v>
      </c>
      <c r="F15" s="2096"/>
      <c r="G15" s="2087" t="s">
        <v>2301</v>
      </c>
      <c r="H15" s="2069"/>
      <c r="I15" s="2069"/>
      <c r="J15" s="2069"/>
      <c r="K15" s="2088"/>
      <c r="L15" s="2089" t="s">
        <v>2302</v>
      </c>
      <c r="M15" s="2070">
        <f>70*25*2</f>
        <v>3500</v>
      </c>
      <c r="N15" s="2090"/>
      <c r="O15" s="2092">
        <v>3500</v>
      </c>
      <c r="P15" s="2097"/>
      <c r="Q15" s="2097"/>
      <c r="R15" s="2097"/>
      <c r="S15" s="2097"/>
      <c r="T15" s="2097"/>
      <c r="U15" s="2097"/>
      <c r="V15" s="2097"/>
      <c r="W15" s="2097"/>
      <c r="X15" s="2097"/>
      <c r="Y15" s="2097"/>
      <c r="Z15" s="2097"/>
      <c r="AA15" s="809"/>
      <c r="AB15" s="809"/>
    </row>
    <row r="16" spans="1:31" s="2093" customFormat="1" ht="74.599999999999994" customHeight="1">
      <c r="A16" s="2060"/>
      <c r="B16" s="2060"/>
      <c r="C16" s="2060"/>
      <c r="D16" s="2098"/>
      <c r="E16" s="2095"/>
      <c r="F16" s="2095"/>
      <c r="G16" s="2095"/>
      <c r="H16" s="2069"/>
      <c r="I16" s="2069"/>
      <c r="J16" s="2069"/>
      <c r="K16" s="2088"/>
      <c r="L16" s="2089" t="s">
        <v>2303</v>
      </c>
      <c r="M16" s="2070">
        <f>70*70*1</f>
        <v>4900</v>
      </c>
      <c r="N16" s="2090"/>
      <c r="O16" s="2099">
        <v>4900</v>
      </c>
      <c r="P16" s="2097"/>
      <c r="Q16" s="2097"/>
      <c r="R16" s="2097"/>
      <c r="S16" s="2097"/>
      <c r="T16" s="2097"/>
      <c r="U16" s="2097"/>
      <c r="V16" s="2097"/>
      <c r="W16" s="2097"/>
      <c r="X16" s="2097"/>
      <c r="Y16" s="2097"/>
      <c r="Z16" s="2097"/>
      <c r="AA16" s="809"/>
      <c r="AB16" s="809"/>
    </row>
    <row r="17" spans="1:31" s="2093" customFormat="1" ht="74.599999999999994" customHeight="1">
      <c r="A17" s="2060"/>
      <c r="B17" s="2060"/>
      <c r="C17" s="2060"/>
      <c r="D17" s="2098"/>
      <c r="E17" s="2095" t="s">
        <v>2304</v>
      </c>
      <c r="F17" s="2095"/>
      <c r="G17" s="2087" t="s">
        <v>2301</v>
      </c>
      <c r="H17" s="2069"/>
      <c r="I17" s="2069"/>
      <c r="J17" s="2069"/>
      <c r="K17" s="2088"/>
      <c r="L17" s="2089" t="s">
        <v>2302</v>
      </c>
      <c r="M17" s="2070">
        <f>70*25*2</f>
        <v>3500</v>
      </c>
      <c r="N17" s="2090"/>
      <c r="O17" s="2092">
        <v>3500</v>
      </c>
      <c r="P17" s="2097"/>
      <c r="Q17" s="2097"/>
      <c r="R17" s="2097"/>
      <c r="S17" s="2097"/>
      <c r="T17" s="2097"/>
      <c r="U17" s="2097"/>
      <c r="V17" s="2097"/>
      <c r="W17" s="2097"/>
      <c r="X17" s="2097"/>
      <c r="Y17" s="2097"/>
      <c r="Z17" s="2097"/>
      <c r="AA17" s="809"/>
      <c r="AB17" s="809"/>
    </row>
    <row r="18" spans="1:31" s="2093" customFormat="1" ht="74.599999999999994" customHeight="1">
      <c r="A18" s="2060"/>
      <c r="B18" s="2060"/>
      <c r="C18" s="2060"/>
      <c r="D18" s="2098"/>
      <c r="E18" s="2095"/>
      <c r="F18" s="2095"/>
      <c r="G18" s="2095"/>
      <c r="H18" s="2069"/>
      <c r="I18" s="2069"/>
      <c r="J18" s="2069"/>
      <c r="K18" s="2088"/>
      <c r="L18" s="2089" t="s">
        <v>2303</v>
      </c>
      <c r="M18" s="2070">
        <f>70*70*1</f>
        <v>4900</v>
      </c>
      <c r="N18" s="2090"/>
      <c r="O18" s="2099">
        <v>4900</v>
      </c>
      <c r="P18" s="2097"/>
      <c r="Q18" s="2097"/>
      <c r="R18" s="2097"/>
      <c r="S18" s="2097"/>
      <c r="T18" s="2097"/>
      <c r="U18" s="2097"/>
      <c r="V18" s="2097"/>
      <c r="W18" s="2097"/>
      <c r="X18" s="2097"/>
      <c r="Y18" s="2097"/>
      <c r="Z18" s="2097"/>
      <c r="AA18" s="809"/>
      <c r="AB18" s="809"/>
    </row>
    <row r="19" spans="1:31" s="2093" customFormat="1" ht="68.599999999999994">
      <c r="A19" s="2060"/>
      <c r="B19" s="2060"/>
      <c r="C19" s="2060"/>
      <c r="D19" s="2094"/>
      <c r="E19" s="2100" t="s">
        <v>2305</v>
      </c>
      <c r="F19" s="2100" t="s">
        <v>2306</v>
      </c>
      <c r="G19" s="2100" t="s">
        <v>2307</v>
      </c>
      <c r="H19" s="2101" t="s">
        <v>768</v>
      </c>
      <c r="I19" s="2101"/>
      <c r="J19" s="2102"/>
      <c r="K19" s="2103"/>
      <c r="L19" s="2104"/>
      <c r="M19" s="2105"/>
      <c r="N19" s="2090"/>
      <c r="O19" s="2091"/>
      <c r="P19" s="2092"/>
      <c r="Q19" s="2092"/>
      <c r="R19" s="2092"/>
      <c r="S19" s="2092"/>
      <c r="T19" s="2092"/>
      <c r="U19" s="2092"/>
      <c r="V19" s="2092"/>
      <c r="W19" s="2092"/>
      <c r="X19" s="2092"/>
      <c r="Y19" s="2092"/>
      <c r="Z19" s="2092"/>
      <c r="AA19" s="810"/>
      <c r="AB19" s="2106"/>
    </row>
    <row r="20" spans="1:31" s="2093" customFormat="1">
      <c r="A20" s="2060"/>
      <c r="B20" s="2060"/>
      <c r="C20" s="2060"/>
      <c r="D20" s="2098"/>
      <c r="E20" s="2107"/>
      <c r="F20" s="2107"/>
      <c r="G20" s="2107"/>
      <c r="H20" s="2101"/>
      <c r="I20" s="2101"/>
      <c r="J20" s="2101"/>
      <c r="K20" s="2103"/>
      <c r="L20" s="2104"/>
      <c r="M20" s="2105"/>
      <c r="N20" s="2090"/>
      <c r="O20" s="2091"/>
      <c r="P20" s="2092"/>
      <c r="Q20" s="2092"/>
      <c r="R20" s="2092"/>
      <c r="S20" s="2092"/>
      <c r="T20" s="2092"/>
      <c r="U20" s="2092"/>
      <c r="V20" s="2092"/>
      <c r="W20" s="2092"/>
      <c r="X20" s="2092"/>
      <c r="Y20" s="2092"/>
      <c r="Z20" s="2092"/>
      <c r="AA20" s="810"/>
      <c r="AB20" s="810"/>
    </row>
    <row r="21" spans="1:31" s="2093" customFormat="1" ht="82.3">
      <c r="A21" s="2060"/>
      <c r="B21" s="2060"/>
      <c r="C21" s="2060"/>
      <c r="D21" s="2086"/>
      <c r="E21" s="2087" t="s">
        <v>2308</v>
      </c>
      <c r="F21" s="2096" t="s">
        <v>2309</v>
      </c>
      <c r="G21" s="2087" t="s">
        <v>2310</v>
      </c>
      <c r="H21" s="2069"/>
      <c r="I21" s="2069"/>
      <c r="J21" s="2069"/>
      <c r="K21" s="2088"/>
      <c r="L21" s="2089" t="s">
        <v>2311</v>
      </c>
      <c r="M21" s="2070">
        <f>70*50*2</f>
        <v>7000</v>
      </c>
      <c r="N21" s="2090"/>
      <c r="O21" s="2091"/>
      <c r="P21" s="2092">
        <v>7000</v>
      </c>
      <c r="Q21" s="2097"/>
      <c r="R21" s="2097"/>
      <c r="S21" s="2097"/>
      <c r="T21" s="2097"/>
      <c r="U21" s="2097"/>
      <c r="V21" s="2097"/>
      <c r="W21" s="2097"/>
      <c r="X21" s="2097"/>
      <c r="Y21" s="2097"/>
      <c r="Z21" s="2097"/>
      <c r="AA21" s="809"/>
      <c r="AB21" s="809"/>
    </row>
    <row r="22" spans="1:31" s="2093" customFormat="1" ht="45">
      <c r="A22" s="2060"/>
      <c r="B22" s="2060"/>
      <c r="C22" s="2060"/>
      <c r="D22" s="2094"/>
      <c r="E22" s="2095"/>
      <c r="F22" s="2095"/>
      <c r="G22" s="2095"/>
      <c r="H22" s="2069"/>
      <c r="I22" s="2069"/>
      <c r="J22" s="2069"/>
      <c r="K22" s="2088"/>
      <c r="L22" s="2089" t="s">
        <v>2312</v>
      </c>
      <c r="M22" s="2070">
        <f>50*25*4</f>
        <v>5000</v>
      </c>
      <c r="N22" s="2090"/>
      <c r="O22" s="2091"/>
      <c r="P22" s="2092">
        <v>5000</v>
      </c>
      <c r="Q22" s="2097"/>
      <c r="R22" s="2097"/>
      <c r="S22" s="2097"/>
      <c r="T22" s="2097"/>
      <c r="U22" s="2097"/>
      <c r="V22" s="2097"/>
      <c r="W22" s="2097"/>
      <c r="X22" s="2097"/>
      <c r="Y22" s="2097"/>
      <c r="Z22" s="2097"/>
      <c r="AA22" s="809"/>
      <c r="AB22" s="809"/>
    </row>
    <row r="23" spans="1:31" s="2093" customFormat="1" ht="24" customHeight="1">
      <c r="A23" s="2060"/>
      <c r="B23" s="2060"/>
      <c r="C23" s="2060"/>
      <c r="D23" s="2094"/>
      <c r="E23" s="2107"/>
      <c r="F23" s="2107"/>
      <c r="G23" s="2107"/>
      <c r="H23" s="2101"/>
      <c r="I23" s="2101"/>
      <c r="J23" s="2101"/>
      <c r="K23" s="2103"/>
      <c r="L23" s="2104"/>
      <c r="M23" s="2105"/>
      <c r="N23" s="2090"/>
      <c r="O23" s="2099"/>
      <c r="P23" s="2108"/>
      <c r="Q23" s="2097"/>
      <c r="R23" s="2097"/>
      <c r="S23" s="2097"/>
      <c r="T23" s="2097"/>
      <c r="U23" s="2097"/>
      <c r="V23" s="2097"/>
      <c r="W23" s="2097"/>
      <c r="X23" s="2097"/>
      <c r="Y23" s="2097"/>
      <c r="Z23" s="2097"/>
      <c r="AA23" s="809"/>
      <c r="AB23" s="809"/>
    </row>
    <row r="24" spans="1:31" s="2093" customFormat="1">
      <c r="A24" s="2060"/>
      <c r="B24" s="2060"/>
      <c r="C24" s="2060"/>
      <c r="D24" s="2094"/>
      <c r="E24" s="2095"/>
      <c r="F24" s="2095"/>
      <c r="G24" s="2095"/>
      <c r="H24" s="2069"/>
      <c r="I24" s="2069"/>
      <c r="J24" s="2069"/>
      <c r="K24" s="2088"/>
      <c r="L24" s="2089"/>
      <c r="M24" s="2070"/>
      <c r="N24" s="2090"/>
      <c r="O24" s="2099"/>
      <c r="P24" s="2097"/>
      <c r="Q24" s="2097"/>
      <c r="R24" s="2097"/>
      <c r="S24" s="2097"/>
      <c r="T24" s="2097"/>
      <c r="U24" s="2097"/>
      <c r="V24" s="2097"/>
      <c r="W24" s="2097"/>
      <c r="X24" s="2097"/>
      <c r="Y24" s="2097"/>
      <c r="Z24" s="2097"/>
      <c r="AA24" s="809"/>
      <c r="AB24" s="809"/>
    </row>
    <row r="25" spans="1:31">
      <c r="A25" s="2076">
        <v>4</v>
      </c>
      <c r="B25" s="2076">
        <v>11</v>
      </c>
      <c r="C25" s="2076">
        <v>33</v>
      </c>
      <c r="D25" s="2109">
        <v>2</v>
      </c>
      <c r="E25" s="2110" t="s">
        <v>2313</v>
      </c>
      <c r="F25" s="2111"/>
      <c r="G25" s="2111"/>
      <c r="H25" s="2109"/>
      <c r="I25" s="2109"/>
      <c r="J25" s="2109"/>
      <c r="K25" s="2112"/>
      <c r="L25" s="2111"/>
      <c r="M25" s="2113"/>
      <c r="N25" s="2114">
        <f>SUM(M26:M30)</f>
        <v>114500</v>
      </c>
      <c r="O25" s="2084">
        <f t="shared" ref="O25:Z25" si="2">SUM(O26:O30)</f>
        <v>114500</v>
      </c>
      <c r="P25" s="2084">
        <f t="shared" si="2"/>
        <v>0</v>
      </c>
      <c r="Q25" s="2084">
        <f t="shared" si="2"/>
        <v>0</v>
      </c>
      <c r="R25" s="2084">
        <f t="shared" si="2"/>
        <v>0</v>
      </c>
      <c r="S25" s="2084">
        <f t="shared" si="2"/>
        <v>0</v>
      </c>
      <c r="T25" s="2084">
        <f t="shared" si="2"/>
        <v>0</v>
      </c>
      <c r="U25" s="2084">
        <f t="shared" si="2"/>
        <v>0</v>
      </c>
      <c r="V25" s="2084">
        <f t="shared" si="2"/>
        <v>0</v>
      </c>
      <c r="W25" s="2084">
        <f t="shared" si="2"/>
        <v>0</v>
      </c>
      <c r="X25" s="2084">
        <f t="shared" si="2"/>
        <v>0</v>
      </c>
      <c r="Y25" s="2084">
        <f t="shared" si="2"/>
        <v>0</v>
      </c>
      <c r="Z25" s="2084">
        <f t="shared" si="2"/>
        <v>0</v>
      </c>
      <c r="AA25" s="2080" t="s">
        <v>2294</v>
      </c>
      <c r="AB25" s="2085" t="s">
        <v>2290</v>
      </c>
      <c r="AC25" s="2042">
        <v>4</v>
      </c>
      <c r="AD25" s="2042">
        <v>11</v>
      </c>
      <c r="AE25" s="2042">
        <v>33</v>
      </c>
    </row>
    <row r="26" spans="1:31" ht="54.9">
      <c r="A26" s="2060"/>
      <c r="B26" s="2060"/>
      <c r="C26" s="2060"/>
      <c r="D26" s="2115"/>
      <c r="E26" s="2116" t="s">
        <v>2314</v>
      </c>
      <c r="F26" s="2116" t="s">
        <v>2314</v>
      </c>
      <c r="G26" s="2116" t="s">
        <v>2315</v>
      </c>
      <c r="H26" s="2115" t="s">
        <v>239</v>
      </c>
      <c r="J26" s="2115"/>
      <c r="K26" s="2117" t="s">
        <v>239</v>
      </c>
      <c r="L26" s="2118" t="s">
        <v>2316</v>
      </c>
      <c r="M26" s="2119">
        <f>100*50*2</f>
        <v>10000</v>
      </c>
      <c r="N26" s="2120"/>
      <c r="O26" s="2121">
        <v>10000</v>
      </c>
      <c r="P26" s="2121"/>
      <c r="Q26" s="2121"/>
      <c r="R26" s="2121"/>
      <c r="S26" s="2121"/>
      <c r="T26" s="2121"/>
      <c r="U26" s="2121"/>
      <c r="V26" s="2121"/>
      <c r="W26" s="2121"/>
      <c r="X26" s="2121"/>
      <c r="Z26" s="2122"/>
      <c r="AA26" s="2123"/>
      <c r="AB26" s="2060"/>
    </row>
    <row r="27" spans="1:31" ht="52.3">
      <c r="A27" s="2060"/>
      <c r="B27" s="2060"/>
      <c r="C27" s="2060"/>
      <c r="D27" s="2115"/>
      <c r="E27" s="2124"/>
      <c r="F27" s="2124"/>
      <c r="G27" s="2124"/>
      <c r="I27" s="2115"/>
      <c r="J27" s="2115"/>
      <c r="K27" s="2117"/>
      <c r="L27" s="2118" t="s">
        <v>2317</v>
      </c>
      <c r="M27" s="2119">
        <f>200*70*1</f>
        <v>14000</v>
      </c>
      <c r="N27" s="2120"/>
      <c r="O27" s="2121">
        <v>14000</v>
      </c>
      <c r="P27" s="2121"/>
      <c r="Q27" s="2121"/>
      <c r="R27" s="2121"/>
      <c r="S27" s="2121"/>
      <c r="T27" s="2121"/>
      <c r="U27" s="2121"/>
      <c r="V27" s="2121"/>
      <c r="W27" s="2121"/>
      <c r="X27" s="2121"/>
      <c r="Z27" s="2122"/>
      <c r="AA27" s="2123"/>
      <c r="AB27" s="2060"/>
    </row>
    <row r="28" spans="1:31" ht="52.3">
      <c r="A28" s="2060"/>
      <c r="B28" s="2060"/>
      <c r="C28" s="2060"/>
      <c r="D28" s="2115"/>
      <c r="E28" s="2124"/>
      <c r="F28" s="2124"/>
      <c r="G28" s="2124"/>
      <c r="H28" s="2115"/>
      <c r="I28" s="2115"/>
      <c r="J28" s="2115"/>
      <c r="K28" s="2117"/>
      <c r="L28" s="2118" t="s">
        <v>2318</v>
      </c>
      <c r="M28" s="2119">
        <f>200*250*1</f>
        <v>50000</v>
      </c>
      <c r="N28" s="2120"/>
      <c r="O28" s="2121">
        <v>50000</v>
      </c>
      <c r="P28" s="2121"/>
      <c r="Q28" s="2121"/>
      <c r="R28" s="2121"/>
      <c r="S28" s="2121"/>
      <c r="T28" s="2121"/>
      <c r="U28" s="2121"/>
      <c r="V28" s="2121"/>
      <c r="W28" s="2121"/>
      <c r="X28" s="2121"/>
      <c r="Z28" s="2122"/>
      <c r="AA28" s="2123"/>
      <c r="AB28" s="2060"/>
    </row>
    <row r="29" spans="1:31" ht="54.9">
      <c r="A29" s="2060"/>
      <c r="B29" s="2060"/>
      <c r="C29" s="2060"/>
      <c r="D29" s="2115"/>
      <c r="E29" s="2116" t="s">
        <v>2314</v>
      </c>
      <c r="F29" s="2124" t="s">
        <v>2314</v>
      </c>
      <c r="G29" s="2116" t="s">
        <v>2315</v>
      </c>
      <c r="H29" s="2115" t="s">
        <v>239</v>
      </c>
      <c r="J29" s="2115"/>
      <c r="K29" s="2117" t="s">
        <v>239</v>
      </c>
      <c r="L29" s="2118" t="s">
        <v>2319</v>
      </c>
      <c r="M29" s="2119">
        <f>90*50*2</f>
        <v>9000</v>
      </c>
      <c r="N29" s="2120"/>
      <c r="O29" s="2121">
        <v>9000</v>
      </c>
      <c r="P29" s="2121"/>
      <c r="Q29" s="2121"/>
      <c r="R29" s="2121"/>
      <c r="S29" s="2121"/>
      <c r="T29" s="2121"/>
      <c r="U29" s="2121"/>
      <c r="V29" s="2121"/>
      <c r="W29" s="2121"/>
      <c r="X29" s="2121"/>
      <c r="Y29" s="2121"/>
      <c r="Z29" s="2122"/>
      <c r="AA29" s="2123"/>
      <c r="AB29" s="2060"/>
    </row>
    <row r="30" spans="1:31" ht="52.3">
      <c r="A30" s="2060"/>
      <c r="B30" s="2060"/>
      <c r="C30" s="2060"/>
      <c r="D30" s="2115"/>
      <c r="E30" s="2124"/>
      <c r="F30" s="2124"/>
      <c r="G30" s="2124"/>
      <c r="H30" s="2115"/>
      <c r="I30" s="2115"/>
      <c r="J30" s="2115"/>
      <c r="K30" s="2117"/>
      <c r="L30" s="2118" t="s">
        <v>2320</v>
      </c>
      <c r="M30" s="2119">
        <f>90*350*1</f>
        <v>31500</v>
      </c>
      <c r="N30" s="2120"/>
      <c r="O30" s="2121">
        <v>31500</v>
      </c>
      <c r="P30" s="2121"/>
      <c r="Q30" s="2121"/>
      <c r="R30" s="2121"/>
      <c r="S30" s="2121"/>
      <c r="T30" s="2121"/>
      <c r="U30" s="2121"/>
      <c r="V30" s="2121"/>
      <c r="W30" s="2121"/>
      <c r="X30" s="2121"/>
      <c r="Y30" s="2121"/>
      <c r="Z30" s="2122"/>
      <c r="AA30" s="2123"/>
      <c r="AB30" s="2060"/>
    </row>
    <row r="31" spans="1:31" ht="41.15">
      <c r="A31" s="2076">
        <v>4</v>
      </c>
      <c r="B31" s="2076">
        <v>11</v>
      </c>
      <c r="C31" s="2076">
        <v>33</v>
      </c>
      <c r="D31" s="2109">
        <v>3</v>
      </c>
      <c r="E31" s="2110" t="s">
        <v>2321</v>
      </c>
      <c r="F31" s="2111"/>
      <c r="G31" s="2111"/>
      <c r="H31" s="2109"/>
      <c r="I31" s="2109"/>
      <c r="J31" s="2109"/>
      <c r="K31" s="2112"/>
      <c r="L31" s="2111"/>
      <c r="M31" s="2113"/>
      <c r="N31" s="2114">
        <f>SUM(M32:M43)</f>
        <v>1004000</v>
      </c>
      <c r="O31" s="2084">
        <f t="shared" ref="O31:Z31" si="3">SUM(O32:O43)</f>
        <v>0</v>
      </c>
      <c r="P31" s="2084">
        <f t="shared" si="3"/>
        <v>0</v>
      </c>
      <c r="Q31" s="2084">
        <f t="shared" si="3"/>
        <v>0</v>
      </c>
      <c r="R31" s="2084">
        <f t="shared" si="3"/>
        <v>0</v>
      </c>
      <c r="S31" s="2084">
        <f t="shared" si="3"/>
        <v>0</v>
      </c>
      <c r="T31" s="2084">
        <f>SUM(T32:T43)</f>
        <v>502000</v>
      </c>
      <c r="U31" s="2084">
        <f t="shared" si="3"/>
        <v>0</v>
      </c>
      <c r="V31" s="2084">
        <f t="shared" si="3"/>
        <v>0</v>
      </c>
      <c r="W31" s="2084">
        <f t="shared" si="3"/>
        <v>0</v>
      </c>
      <c r="X31" s="2084">
        <f t="shared" si="3"/>
        <v>0</v>
      </c>
      <c r="Y31" s="2084">
        <f t="shared" si="3"/>
        <v>502000</v>
      </c>
      <c r="Z31" s="2084">
        <f t="shared" si="3"/>
        <v>0</v>
      </c>
      <c r="AA31" s="2080" t="s">
        <v>2294</v>
      </c>
      <c r="AB31" s="2085" t="s">
        <v>2290</v>
      </c>
      <c r="AC31" s="2042">
        <v>4</v>
      </c>
      <c r="AD31" s="2042">
        <v>11</v>
      </c>
      <c r="AE31" s="2042">
        <v>33</v>
      </c>
    </row>
    <row r="32" spans="1:31" ht="82.3">
      <c r="A32" s="2060"/>
      <c r="B32" s="2060"/>
      <c r="C32" s="2060"/>
      <c r="D32" s="2115"/>
      <c r="E32" s="2116" t="s">
        <v>2322</v>
      </c>
      <c r="F32" s="2124" t="s">
        <v>2323</v>
      </c>
      <c r="G32" s="2116" t="s">
        <v>2315</v>
      </c>
      <c r="H32" s="2115"/>
      <c r="I32" s="2115" t="s">
        <v>239</v>
      </c>
      <c r="J32" s="2115"/>
      <c r="K32" s="2117" t="s">
        <v>239</v>
      </c>
      <c r="L32" s="2118" t="s">
        <v>2324</v>
      </c>
      <c r="M32" s="2119">
        <f>100*50*4</f>
        <v>20000</v>
      </c>
      <c r="N32" s="2120"/>
      <c r="O32" s="2121"/>
      <c r="P32" s="2121"/>
      <c r="Q32" s="2121"/>
      <c r="R32" s="2121"/>
      <c r="S32" s="2121"/>
      <c r="T32" s="2121">
        <v>20000</v>
      </c>
      <c r="U32" s="2121"/>
      <c r="V32" s="2121"/>
      <c r="W32" s="2121"/>
      <c r="X32" s="2121"/>
      <c r="Z32" s="2122"/>
      <c r="AA32" s="2123"/>
      <c r="AB32" s="2060"/>
    </row>
    <row r="33" spans="1:28" ht="59.6">
      <c r="A33" s="2060"/>
      <c r="B33" s="2060"/>
      <c r="C33" s="2060"/>
      <c r="D33" s="2115"/>
      <c r="E33" s="2124"/>
      <c r="F33" s="2124"/>
      <c r="G33" s="2124"/>
      <c r="H33" s="2115"/>
      <c r="I33" s="2115"/>
      <c r="J33" s="2115"/>
      <c r="K33" s="2117"/>
      <c r="L33" s="2118" t="s">
        <v>2325</v>
      </c>
      <c r="M33" s="2119">
        <f>100*500*2</f>
        <v>100000</v>
      </c>
      <c r="N33" s="2120"/>
      <c r="O33" s="2121"/>
      <c r="P33" s="2121"/>
      <c r="Q33" s="2121"/>
      <c r="R33" s="2121"/>
      <c r="S33" s="2121"/>
      <c r="T33" s="2121">
        <v>100000</v>
      </c>
      <c r="U33" s="2121"/>
      <c r="V33" s="2121"/>
      <c r="W33" s="2121"/>
      <c r="X33" s="2121"/>
      <c r="Z33" s="2122"/>
      <c r="AA33" s="2123"/>
      <c r="AB33" s="2060"/>
    </row>
    <row r="34" spans="1:28" ht="52.3">
      <c r="A34" s="2060"/>
      <c r="B34" s="2060"/>
      <c r="C34" s="2060"/>
      <c r="D34" s="2115"/>
      <c r="E34" s="2124"/>
      <c r="F34" s="2124"/>
      <c r="G34" s="2124"/>
      <c r="H34" s="2115"/>
      <c r="I34" s="2115"/>
      <c r="J34" s="2115"/>
      <c r="K34" s="2117"/>
      <c r="L34" s="2118" t="s">
        <v>2326</v>
      </c>
      <c r="M34" s="2119">
        <f>100*800*1</f>
        <v>80000</v>
      </c>
      <c r="N34" s="2120"/>
      <c r="O34" s="2121"/>
      <c r="P34" s="2121"/>
      <c r="Q34" s="2121"/>
      <c r="R34" s="2121"/>
      <c r="S34" s="2121"/>
      <c r="T34" s="2121">
        <v>80000</v>
      </c>
      <c r="U34" s="2121"/>
      <c r="V34" s="2121"/>
      <c r="W34" s="2121"/>
      <c r="X34" s="2121"/>
      <c r="Z34" s="2122"/>
      <c r="AA34" s="2123"/>
      <c r="AB34" s="2060"/>
    </row>
    <row r="35" spans="1:28" ht="59.6">
      <c r="A35" s="2060"/>
      <c r="B35" s="2060"/>
      <c r="C35" s="2060"/>
      <c r="D35" s="2115"/>
      <c r="E35" s="2124"/>
      <c r="F35" s="2124"/>
      <c r="G35" s="2124"/>
      <c r="H35" s="2115"/>
      <c r="I35" s="2115"/>
      <c r="J35" s="2115"/>
      <c r="K35" s="2117"/>
      <c r="L35" s="2118" t="s">
        <v>2327</v>
      </c>
      <c r="M35" s="2119">
        <f>100*750*2</f>
        <v>150000</v>
      </c>
      <c r="N35" s="2120"/>
      <c r="O35" s="2121"/>
      <c r="P35" s="2121"/>
      <c r="Q35" s="2121"/>
      <c r="R35" s="2121"/>
      <c r="S35" s="2121"/>
      <c r="T35" s="2121">
        <v>150000</v>
      </c>
      <c r="U35" s="2121"/>
      <c r="V35" s="2121"/>
      <c r="W35" s="2121"/>
      <c r="X35" s="2121"/>
      <c r="Z35" s="2122"/>
      <c r="AA35" s="2123"/>
      <c r="AB35" s="2060"/>
    </row>
    <row r="36" spans="1:28" ht="52.3">
      <c r="A36" s="2060"/>
      <c r="B36" s="2060"/>
      <c r="C36" s="2060"/>
      <c r="D36" s="2115"/>
      <c r="E36" s="2124"/>
      <c r="F36" s="2124"/>
      <c r="G36" s="2124"/>
      <c r="H36" s="2115"/>
      <c r="I36" s="2115"/>
      <c r="J36" s="2115"/>
      <c r="K36" s="2117"/>
      <c r="L36" s="2118" t="s">
        <v>2328</v>
      </c>
      <c r="M36" s="2119">
        <f>160*100*2</f>
        <v>32000</v>
      </c>
      <c r="N36" s="2120"/>
      <c r="O36" s="2121"/>
      <c r="P36" s="2121"/>
      <c r="Q36" s="2121"/>
      <c r="R36" s="2121"/>
      <c r="S36" s="2121"/>
      <c r="T36" s="2121">
        <v>32000</v>
      </c>
      <c r="U36" s="2121"/>
      <c r="V36" s="2121"/>
      <c r="W36" s="2121"/>
      <c r="X36" s="2121"/>
      <c r="Z36" s="2122"/>
      <c r="AA36" s="2123"/>
      <c r="AB36" s="2060"/>
    </row>
    <row r="37" spans="1:28" ht="59.6">
      <c r="A37" s="2060"/>
      <c r="B37" s="2060"/>
      <c r="C37" s="2060"/>
      <c r="D37" s="2115"/>
      <c r="E37" s="2124"/>
      <c r="F37" s="2124"/>
      <c r="G37" s="2124"/>
      <c r="H37" s="2115"/>
      <c r="I37" s="2115"/>
      <c r="J37" s="2115"/>
      <c r="K37" s="2117"/>
      <c r="L37" s="2125" t="s">
        <v>2329</v>
      </c>
      <c r="M37" s="2119">
        <f>2*15000*4</f>
        <v>120000</v>
      </c>
      <c r="N37" s="2120"/>
      <c r="O37" s="2121"/>
      <c r="P37" s="2121"/>
      <c r="Q37" s="2121"/>
      <c r="R37" s="2121"/>
      <c r="S37" s="2121"/>
      <c r="T37" s="2121">
        <v>120000</v>
      </c>
      <c r="U37" s="2121"/>
      <c r="V37" s="2121"/>
      <c r="W37" s="2121"/>
      <c r="X37" s="2121"/>
      <c r="Z37" s="2122"/>
      <c r="AA37" s="2123"/>
      <c r="AB37" s="2060"/>
    </row>
    <row r="38" spans="1:28" ht="52.3">
      <c r="A38" s="2060"/>
      <c r="B38" s="2060"/>
      <c r="C38" s="2060"/>
      <c r="D38" s="2115"/>
      <c r="E38" s="2116" t="s">
        <v>2330</v>
      </c>
      <c r="F38" s="2124" t="s">
        <v>2331</v>
      </c>
      <c r="G38" s="2116" t="s">
        <v>2332</v>
      </c>
      <c r="H38" s="2115"/>
      <c r="I38" s="2115" t="s">
        <v>239</v>
      </c>
      <c r="J38" s="2115"/>
      <c r="K38" s="2117" t="s">
        <v>239</v>
      </c>
      <c r="L38" s="2118" t="s">
        <v>2324</v>
      </c>
      <c r="M38" s="2119">
        <f>100*50*4</f>
        <v>20000</v>
      </c>
      <c r="N38" s="2120"/>
      <c r="O38" s="2121"/>
      <c r="P38" s="2121"/>
      <c r="Q38" s="2121"/>
      <c r="R38" s="2121"/>
      <c r="S38" s="2121"/>
      <c r="T38" s="2121"/>
      <c r="U38" s="2121"/>
      <c r="V38" s="2121"/>
      <c r="W38" s="2121"/>
      <c r="X38" s="2121"/>
      <c r="Y38" s="2121">
        <v>20000</v>
      </c>
      <c r="Z38" s="2122"/>
      <c r="AA38" s="2123"/>
      <c r="AB38" s="2060"/>
    </row>
    <row r="39" spans="1:28" ht="59.6">
      <c r="A39" s="2060"/>
      <c r="B39" s="2060"/>
      <c r="C39" s="2060"/>
      <c r="D39" s="2115"/>
      <c r="E39" s="2124"/>
      <c r="F39" s="2124"/>
      <c r="G39" s="2124"/>
      <c r="H39" s="2115"/>
      <c r="I39" s="2115"/>
      <c r="J39" s="2115"/>
      <c r="K39" s="2117"/>
      <c r="L39" s="2118" t="s">
        <v>2325</v>
      </c>
      <c r="M39" s="2119">
        <f>100*500*2</f>
        <v>100000</v>
      </c>
      <c r="N39" s="2120"/>
      <c r="O39" s="2121"/>
      <c r="P39" s="2121"/>
      <c r="Q39" s="2121"/>
      <c r="R39" s="2121"/>
      <c r="S39" s="2121"/>
      <c r="T39" s="2121"/>
      <c r="U39" s="2121"/>
      <c r="V39" s="2121"/>
      <c r="W39" s="2121"/>
      <c r="X39" s="2121"/>
      <c r="Y39" s="2121">
        <v>100000</v>
      </c>
      <c r="Z39" s="2122"/>
      <c r="AA39" s="2123"/>
      <c r="AB39" s="2060"/>
    </row>
    <row r="40" spans="1:28" ht="52.3">
      <c r="A40" s="2060"/>
      <c r="B40" s="2060"/>
      <c r="C40" s="2060"/>
      <c r="D40" s="2115"/>
      <c r="E40" s="2124"/>
      <c r="F40" s="2124"/>
      <c r="G40" s="2124"/>
      <c r="H40" s="2115"/>
      <c r="I40" s="2115"/>
      <c r="J40" s="2115"/>
      <c r="K40" s="2117"/>
      <c r="L40" s="2118" t="s">
        <v>2326</v>
      </c>
      <c r="M40" s="2119">
        <f>100*800*1</f>
        <v>80000</v>
      </c>
      <c r="N40" s="2120"/>
      <c r="O40" s="2121"/>
      <c r="P40" s="2121"/>
      <c r="Q40" s="2121"/>
      <c r="R40" s="2121"/>
      <c r="S40" s="2121"/>
      <c r="T40" s="2121"/>
      <c r="U40" s="2121"/>
      <c r="V40" s="2121"/>
      <c r="W40" s="2121"/>
      <c r="X40" s="2121"/>
      <c r="Y40" s="2121">
        <v>80000</v>
      </c>
      <c r="Z40" s="2122"/>
      <c r="AA40" s="2123"/>
      <c r="AB40" s="2060"/>
    </row>
    <row r="41" spans="1:28" ht="59.6">
      <c r="A41" s="2060"/>
      <c r="B41" s="2060"/>
      <c r="C41" s="2060"/>
      <c r="D41" s="2115"/>
      <c r="E41" s="2124"/>
      <c r="F41" s="2124"/>
      <c r="G41" s="2124"/>
      <c r="H41" s="2115"/>
      <c r="I41" s="2115"/>
      <c r="J41" s="2115"/>
      <c r="K41" s="2117"/>
      <c r="L41" s="2118" t="s">
        <v>2327</v>
      </c>
      <c r="M41" s="2119">
        <f>100*750*2</f>
        <v>150000</v>
      </c>
      <c r="N41" s="2120"/>
      <c r="O41" s="2121"/>
      <c r="P41" s="2121"/>
      <c r="Q41" s="2121"/>
      <c r="R41" s="2121"/>
      <c r="S41" s="2121"/>
      <c r="T41" s="2121"/>
      <c r="U41" s="2121"/>
      <c r="V41" s="2121"/>
      <c r="W41" s="2121"/>
      <c r="X41" s="2121"/>
      <c r="Y41" s="2121">
        <v>150000</v>
      </c>
      <c r="Z41" s="2122"/>
      <c r="AA41" s="2123"/>
      <c r="AB41" s="2060"/>
    </row>
    <row r="42" spans="1:28" ht="52.3">
      <c r="A42" s="2060"/>
      <c r="B42" s="2060"/>
      <c r="C42" s="2060"/>
      <c r="D42" s="2115"/>
      <c r="E42" s="2124"/>
      <c r="F42" s="2124"/>
      <c r="G42" s="2124"/>
      <c r="H42" s="2115"/>
      <c r="I42" s="2115"/>
      <c r="J42" s="2115"/>
      <c r="K42" s="2117"/>
      <c r="L42" s="2118" t="s">
        <v>2328</v>
      </c>
      <c r="M42" s="2119">
        <f>160*100*2</f>
        <v>32000</v>
      </c>
      <c r="N42" s="2120"/>
      <c r="O42" s="2121"/>
      <c r="P42" s="2121"/>
      <c r="Q42" s="2121"/>
      <c r="R42" s="2121"/>
      <c r="S42" s="2121"/>
      <c r="T42" s="2121"/>
      <c r="U42" s="2121"/>
      <c r="V42" s="2121"/>
      <c r="W42" s="2121"/>
      <c r="X42" s="2121"/>
      <c r="Y42" s="2121">
        <v>32000</v>
      </c>
      <c r="Z42" s="2122"/>
      <c r="AA42" s="2123"/>
      <c r="AB42" s="2060"/>
    </row>
    <row r="43" spans="1:28" ht="59.6">
      <c r="A43" s="2060"/>
      <c r="B43" s="2060"/>
      <c r="C43" s="2060"/>
      <c r="D43" s="2115"/>
      <c r="E43" s="2124"/>
      <c r="F43" s="2124"/>
      <c r="G43" s="2124"/>
      <c r="H43" s="2115"/>
      <c r="I43" s="2115"/>
      <c r="J43" s="2115"/>
      <c r="K43" s="2117"/>
      <c r="L43" s="2125" t="s">
        <v>2329</v>
      </c>
      <c r="M43" s="2119">
        <f>2*15000*4</f>
        <v>120000</v>
      </c>
      <c r="N43" s="2120"/>
      <c r="O43" s="2121"/>
      <c r="P43" s="2121"/>
      <c r="Q43" s="2121"/>
      <c r="R43" s="2121"/>
      <c r="S43" s="2121"/>
      <c r="T43" s="2121"/>
      <c r="U43" s="2121"/>
      <c r="V43" s="2121"/>
      <c r="W43" s="2121"/>
      <c r="X43" s="2121"/>
      <c r="Y43" s="2121">
        <v>120000</v>
      </c>
      <c r="Z43" s="2122"/>
      <c r="AA43" s="2123"/>
      <c r="AB43" s="2060"/>
    </row>
    <row r="44" spans="1:28">
      <c r="A44" s="2060"/>
      <c r="B44" s="2060"/>
      <c r="C44" s="2060"/>
      <c r="D44" s="2115"/>
      <c r="E44" s="2124"/>
      <c r="F44" s="2124"/>
      <c r="G44" s="2124"/>
      <c r="H44" s="2115"/>
      <c r="I44" s="2115"/>
      <c r="J44" s="2115"/>
      <c r="K44" s="2117"/>
      <c r="L44" s="2125"/>
      <c r="M44" s="2126"/>
      <c r="N44" s="2127"/>
      <c r="O44" s="2128"/>
      <c r="P44" s="2128"/>
      <c r="Q44" s="2128"/>
      <c r="R44" s="2128"/>
      <c r="S44" s="2128"/>
      <c r="T44" s="2128"/>
      <c r="U44" s="2128"/>
      <c r="V44" s="2128"/>
      <c r="W44" s="2128"/>
      <c r="X44" s="2128"/>
      <c r="Y44" s="2128"/>
      <c r="Z44" s="2129"/>
      <c r="AA44" s="2130"/>
      <c r="AB44" s="2072"/>
    </row>
    <row r="45" spans="1:28" ht="45.45" customHeight="1">
      <c r="A45" s="2076"/>
      <c r="B45" s="2076"/>
      <c r="C45" s="2076"/>
      <c r="D45" s="2131">
        <v>4</v>
      </c>
      <c r="E45" s="2132" t="s">
        <v>2333</v>
      </c>
      <c r="F45" s="2133"/>
      <c r="G45" s="2133"/>
      <c r="H45" s="2134"/>
      <c r="I45" s="2134"/>
      <c r="J45" s="2134"/>
      <c r="K45" s="2134"/>
      <c r="L45" s="2133"/>
      <c r="M45" s="2135"/>
      <c r="N45" s="2136">
        <f>SUM(M46:M52)</f>
        <v>153600</v>
      </c>
      <c r="O45" s="2137">
        <f>SUM(O46:O52)</f>
        <v>0</v>
      </c>
      <c r="P45" s="2137">
        <f t="shared" ref="P45:Z45" si="4">SUM(P46:P52)</f>
        <v>0</v>
      </c>
      <c r="Q45" s="2137">
        <f t="shared" si="4"/>
        <v>4800</v>
      </c>
      <c r="R45" s="2137">
        <f t="shared" si="4"/>
        <v>72000</v>
      </c>
      <c r="S45" s="2137">
        <f t="shared" si="4"/>
        <v>0</v>
      </c>
      <c r="T45" s="2137">
        <f t="shared" si="4"/>
        <v>0</v>
      </c>
      <c r="U45" s="2137">
        <f t="shared" si="4"/>
        <v>0</v>
      </c>
      <c r="V45" s="2137">
        <f t="shared" si="4"/>
        <v>4800</v>
      </c>
      <c r="W45" s="2137">
        <f t="shared" si="4"/>
        <v>72000</v>
      </c>
      <c r="X45" s="2137">
        <f t="shared" si="4"/>
        <v>0</v>
      </c>
      <c r="Y45" s="2137">
        <f t="shared" si="4"/>
        <v>0</v>
      </c>
      <c r="Z45" s="2137">
        <f t="shared" si="4"/>
        <v>0</v>
      </c>
      <c r="AA45" s="2080" t="s">
        <v>2294</v>
      </c>
      <c r="AB45" s="2085" t="s">
        <v>280</v>
      </c>
    </row>
    <row r="46" spans="1:28" ht="56.4" customHeight="1">
      <c r="A46" s="2060"/>
      <c r="B46" s="2060"/>
      <c r="C46" s="2060"/>
      <c r="D46" s="808"/>
      <c r="E46" s="2138" t="s">
        <v>2334</v>
      </c>
      <c r="F46" s="2138"/>
      <c r="G46" s="2138" t="s">
        <v>2335</v>
      </c>
      <c r="H46" s="2139" t="s">
        <v>239</v>
      </c>
      <c r="I46" s="2139"/>
      <c r="J46" s="2139" t="s">
        <v>239</v>
      </c>
      <c r="K46" s="2139"/>
      <c r="L46" s="2118" t="s">
        <v>2336</v>
      </c>
      <c r="M46" s="2140">
        <f>25*2*40*2</f>
        <v>4000</v>
      </c>
      <c r="N46" s="2138"/>
      <c r="O46" s="2141"/>
      <c r="P46" s="2141"/>
      <c r="Q46" s="2141">
        <f>M46/2</f>
        <v>2000</v>
      </c>
      <c r="R46" s="2141"/>
      <c r="S46" s="2141"/>
      <c r="T46" s="2141"/>
      <c r="U46" s="2141"/>
      <c r="V46" s="2141">
        <f>M46/2</f>
        <v>2000</v>
      </c>
      <c r="W46" s="2141"/>
      <c r="X46" s="2141"/>
      <c r="Y46" s="2141"/>
      <c r="Z46" s="2141"/>
      <c r="AA46" s="2060"/>
      <c r="AB46" s="2060"/>
    </row>
    <row r="47" spans="1:28" ht="34.85" customHeight="1">
      <c r="A47" s="2060"/>
      <c r="B47" s="2060"/>
      <c r="C47" s="2060"/>
      <c r="D47" s="808"/>
      <c r="E47" s="2142"/>
      <c r="F47" s="2142"/>
      <c r="G47" s="2142"/>
      <c r="H47" s="2143"/>
      <c r="I47" s="2143"/>
      <c r="J47" s="2143"/>
      <c r="K47" s="2143"/>
      <c r="L47" s="2144" t="s">
        <v>2337</v>
      </c>
      <c r="M47" s="2140">
        <f>40*70*2</f>
        <v>5600</v>
      </c>
      <c r="N47" s="2138"/>
      <c r="O47" s="2141"/>
      <c r="P47" s="2141"/>
      <c r="Q47" s="2141">
        <f>M47/2</f>
        <v>2800</v>
      </c>
      <c r="R47" s="2141"/>
      <c r="S47" s="2141"/>
      <c r="T47" s="2141"/>
      <c r="U47" s="2141"/>
      <c r="V47" s="2141">
        <f>M47/2</f>
        <v>2800</v>
      </c>
      <c r="W47" s="2141"/>
      <c r="X47" s="2141"/>
      <c r="Y47" s="2141"/>
      <c r="Z47" s="2141"/>
      <c r="AA47" s="2060"/>
      <c r="AB47" s="2060"/>
    </row>
    <row r="48" spans="1:28" ht="60.9" customHeight="1">
      <c r="A48" s="2060"/>
      <c r="B48" s="2060"/>
      <c r="C48" s="2060"/>
      <c r="D48" s="810"/>
      <c r="E48" s="2138" t="s">
        <v>2338</v>
      </c>
      <c r="F48" s="2138"/>
      <c r="G48" s="2118" t="s">
        <v>2339</v>
      </c>
      <c r="H48" s="2139"/>
      <c r="I48" s="2139" t="s">
        <v>239</v>
      </c>
      <c r="J48" s="2139"/>
      <c r="K48" s="2139" t="s">
        <v>239</v>
      </c>
      <c r="L48" s="2118" t="s">
        <v>2340</v>
      </c>
      <c r="M48" s="2140">
        <f>120*20*3*2</f>
        <v>14400</v>
      </c>
      <c r="N48" s="2138"/>
      <c r="O48" s="2141"/>
      <c r="P48" s="2141"/>
      <c r="Q48" s="2141"/>
      <c r="R48" s="2141">
        <f>M48/2</f>
        <v>7200</v>
      </c>
      <c r="S48" s="2141"/>
      <c r="T48" s="2141"/>
      <c r="U48" s="2141"/>
      <c r="V48" s="2141"/>
      <c r="W48" s="2141">
        <f>M48/2</f>
        <v>7200</v>
      </c>
      <c r="X48" s="2141"/>
      <c r="Y48" s="2141"/>
      <c r="Z48" s="2141"/>
      <c r="AA48" s="2060"/>
      <c r="AB48" s="2060"/>
    </row>
    <row r="49" spans="1:28" ht="55.85" customHeight="1">
      <c r="A49" s="2060"/>
      <c r="B49" s="2060"/>
      <c r="C49" s="2060"/>
      <c r="D49" s="808"/>
      <c r="E49" s="2138" t="s">
        <v>2341</v>
      </c>
      <c r="F49" s="2138"/>
      <c r="G49" s="2138" t="s">
        <v>2342</v>
      </c>
      <c r="H49" s="2138"/>
      <c r="I49" s="2138" t="s">
        <v>239</v>
      </c>
      <c r="J49" s="2138"/>
      <c r="K49" s="2138" t="s">
        <v>239</v>
      </c>
      <c r="L49" s="2118" t="s">
        <v>2343</v>
      </c>
      <c r="M49" s="2140">
        <f>120*70*3*2</f>
        <v>50400</v>
      </c>
      <c r="N49" s="2138"/>
      <c r="O49" s="2141"/>
      <c r="P49" s="2141"/>
      <c r="Q49" s="2141"/>
      <c r="R49" s="2145">
        <f>M49/2</f>
        <v>25200</v>
      </c>
      <c r="S49" s="2141"/>
      <c r="T49" s="2141"/>
      <c r="U49" s="2141"/>
      <c r="V49" s="2141"/>
      <c r="W49" s="2145">
        <f>M49/2</f>
        <v>25200</v>
      </c>
      <c r="X49" s="2141"/>
      <c r="Y49" s="2141"/>
      <c r="Z49" s="2141"/>
      <c r="AA49" s="2060"/>
      <c r="AB49" s="2060"/>
    </row>
    <row r="50" spans="1:28" ht="41.6" customHeight="1">
      <c r="A50" s="2060"/>
      <c r="B50" s="2060"/>
      <c r="C50" s="2060"/>
      <c r="D50" s="810"/>
      <c r="E50" s="2138"/>
      <c r="F50" s="2138"/>
      <c r="G50" s="2138"/>
      <c r="H50" s="2138"/>
      <c r="I50" s="2138"/>
      <c r="J50" s="2138"/>
      <c r="K50" s="2138"/>
      <c r="L50" s="2118" t="s">
        <v>2344</v>
      </c>
      <c r="M50" s="2140">
        <f>120*25*2*3*2</f>
        <v>36000</v>
      </c>
      <c r="N50" s="2142"/>
      <c r="O50" s="2146"/>
      <c r="P50" s="2146"/>
      <c r="Q50" s="2146"/>
      <c r="R50" s="2146">
        <f>M50/2</f>
        <v>18000</v>
      </c>
      <c r="S50" s="2146"/>
      <c r="T50" s="2146"/>
      <c r="U50" s="2146"/>
      <c r="V50" s="2146"/>
      <c r="W50" s="2146">
        <f>M50/2</f>
        <v>18000</v>
      </c>
      <c r="X50" s="2146"/>
      <c r="Y50" s="2146"/>
      <c r="Z50" s="2146"/>
      <c r="AA50" s="2072"/>
      <c r="AB50" s="2072"/>
    </row>
    <row r="51" spans="1:28" ht="47.4" customHeight="1">
      <c r="A51" s="2060"/>
      <c r="B51" s="2060"/>
      <c r="C51" s="2060"/>
      <c r="D51" s="810"/>
      <c r="E51" s="2138"/>
      <c r="F51" s="2138"/>
      <c r="G51" s="2138"/>
      <c r="H51" s="2138"/>
      <c r="I51" s="2138"/>
      <c r="J51" s="2138"/>
      <c r="K51" s="2138"/>
      <c r="L51" s="2118" t="s">
        <v>2345</v>
      </c>
      <c r="M51" s="2140">
        <f>120*70*2*2</f>
        <v>33600</v>
      </c>
      <c r="N51" s="2142"/>
      <c r="O51" s="2146"/>
      <c r="P51" s="2146"/>
      <c r="Q51" s="2146"/>
      <c r="R51" s="2147">
        <f>M51/2</f>
        <v>16800</v>
      </c>
      <c r="S51" s="2146"/>
      <c r="T51" s="2146"/>
      <c r="U51" s="2146"/>
      <c r="V51" s="2146"/>
      <c r="W51" s="2147">
        <f>M51/2</f>
        <v>16800</v>
      </c>
      <c r="X51" s="2146"/>
      <c r="Y51" s="2146"/>
      <c r="Z51" s="2146"/>
      <c r="AA51" s="2072"/>
      <c r="AB51" s="2072"/>
    </row>
    <row r="52" spans="1:28" ht="58.2" customHeight="1">
      <c r="A52" s="2060"/>
      <c r="B52" s="2060"/>
      <c r="C52" s="2060"/>
      <c r="D52" s="810"/>
      <c r="E52" s="2118" t="s">
        <v>2346</v>
      </c>
      <c r="F52" s="2148"/>
      <c r="G52" s="2125" t="s">
        <v>2347</v>
      </c>
      <c r="H52" s="2117"/>
      <c r="I52" s="2115" t="s">
        <v>239</v>
      </c>
      <c r="J52" s="2115"/>
      <c r="K52" s="2117" t="s">
        <v>239</v>
      </c>
      <c r="L52" s="2149" t="s">
        <v>2348</v>
      </c>
      <c r="M52" s="2150">
        <f>120*40*1*2</f>
        <v>9600</v>
      </c>
      <c r="N52" s="2151"/>
      <c r="O52" s="2147"/>
      <c r="P52" s="2147"/>
      <c r="Q52" s="2147"/>
      <c r="R52" s="2147">
        <f>M52/2</f>
        <v>4800</v>
      </c>
      <c r="S52" s="2147"/>
      <c r="T52" s="2147"/>
      <c r="U52" s="2147"/>
      <c r="V52" s="2147"/>
      <c r="W52" s="2147">
        <f>M52/2</f>
        <v>4800</v>
      </c>
      <c r="X52" s="2147"/>
      <c r="Y52" s="2147"/>
      <c r="Z52" s="2147"/>
      <c r="AA52" s="2072"/>
      <c r="AB52" s="2072"/>
    </row>
    <row r="53" spans="1:28" ht="34.85" customHeight="1">
      <c r="A53" s="2076"/>
      <c r="B53" s="2076"/>
      <c r="C53" s="2076"/>
      <c r="D53" s="2152">
        <v>5</v>
      </c>
      <c r="E53" s="2153" t="s">
        <v>2349</v>
      </c>
      <c r="F53" s="2153"/>
      <c r="G53" s="2154" t="s">
        <v>2350</v>
      </c>
      <c r="H53" s="2154"/>
      <c r="I53" s="2154"/>
      <c r="J53" s="2154"/>
      <c r="K53" s="2155"/>
      <c r="L53" s="2154"/>
      <c r="M53" s="2113"/>
      <c r="N53" s="2114">
        <f>SUM(M54:M61)</f>
        <v>148800</v>
      </c>
      <c r="O53" s="2156">
        <f>SUM(O54:O61)</f>
        <v>0</v>
      </c>
      <c r="P53" s="2156">
        <f t="shared" ref="P53:Z53" si="5">SUM(P54:P61)</f>
        <v>0</v>
      </c>
      <c r="Q53" s="2156">
        <f t="shared" si="5"/>
        <v>64800</v>
      </c>
      <c r="R53" s="2156">
        <f t="shared" si="5"/>
        <v>9600</v>
      </c>
      <c r="S53" s="2156">
        <f t="shared" si="5"/>
        <v>0</v>
      </c>
      <c r="T53" s="2156">
        <f t="shared" si="5"/>
        <v>0</v>
      </c>
      <c r="U53" s="2156">
        <f t="shared" si="5"/>
        <v>0</v>
      </c>
      <c r="V53" s="2156">
        <f t="shared" si="5"/>
        <v>64800</v>
      </c>
      <c r="W53" s="2156">
        <f t="shared" si="5"/>
        <v>9600</v>
      </c>
      <c r="X53" s="2156">
        <f t="shared" si="5"/>
        <v>0</v>
      </c>
      <c r="Y53" s="2156">
        <f t="shared" si="5"/>
        <v>0</v>
      </c>
      <c r="Z53" s="2156">
        <f t="shared" si="5"/>
        <v>0</v>
      </c>
      <c r="AA53" s="2080" t="s">
        <v>2294</v>
      </c>
      <c r="AB53" s="2085" t="s">
        <v>280</v>
      </c>
    </row>
    <row r="54" spans="1:28" ht="60" customHeight="1">
      <c r="A54" s="2060"/>
      <c r="B54" s="2060"/>
      <c r="C54" s="2060"/>
      <c r="D54" s="810"/>
      <c r="E54" s="2138" t="s">
        <v>2351</v>
      </c>
      <c r="F54" s="2138" t="s">
        <v>2352</v>
      </c>
      <c r="G54" s="2138" t="s">
        <v>2353</v>
      </c>
      <c r="H54" s="2138"/>
      <c r="I54" s="2138" t="s">
        <v>239</v>
      </c>
      <c r="J54" s="2138"/>
      <c r="K54" s="2138"/>
      <c r="L54" s="2138" t="s">
        <v>2354</v>
      </c>
      <c r="M54" s="2140">
        <f>25*2*80</f>
        <v>4000</v>
      </c>
      <c r="N54" s="2138"/>
      <c r="O54" s="2145"/>
      <c r="P54" s="2145"/>
      <c r="Q54" s="2145">
        <f t="shared" ref="Q54:Q59" si="6">M54/2</f>
        <v>2000</v>
      </c>
      <c r="R54" s="2145"/>
      <c r="S54" s="2145"/>
      <c r="T54" s="2145"/>
      <c r="U54" s="2145"/>
      <c r="V54" s="2145">
        <f t="shared" ref="V54:V59" si="7">M54/2</f>
        <v>2000</v>
      </c>
      <c r="W54" s="2145"/>
      <c r="X54" s="2145"/>
      <c r="Y54" s="2145"/>
      <c r="Z54" s="2145"/>
      <c r="AA54" s="2106"/>
      <c r="AB54" s="2060"/>
    </row>
    <row r="55" spans="1:28" ht="57" customHeight="1">
      <c r="A55" s="2060"/>
      <c r="B55" s="2060"/>
      <c r="C55" s="2060"/>
      <c r="D55" s="810"/>
      <c r="E55" s="2138"/>
      <c r="F55" s="2138"/>
      <c r="G55" s="2138"/>
      <c r="H55" s="2138"/>
      <c r="I55" s="2138" t="s">
        <v>239</v>
      </c>
      <c r="J55" s="2138"/>
      <c r="K55" s="2138"/>
      <c r="L55" s="2138" t="s">
        <v>2355</v>
      </c>
      <c r="M55" s="2140">
        <f>80*70</f>
        <v>5600</v>
      </c>
      <c r="N55" s="2138"/>
      <c r="O55" s="2145"/>
      <c r="P55" s="2145"/>
      <c r="Q55" s="2145">
        <f t="shared" si="6"/>
        <v>2800</v>
      </c>
      <c r="R55" s="2145"/>
      <c r="S55" s="2145"/>
      <c r="T55" s="2145"/>
      <c r="U55" s="2145"/>
      <c r="V55" s="2145">
        <f t="shared" si="7"/>
        <v>2800</v>
      </c>
      <c r="W55" s="2145"/>
      <c r="X55" s="2145"/>
      <c r="Y55" s="2145"/>
      <c r="Z55" s="2145"/>
      <c r="AA55" s="2106"/>
      <c r="AB55" s="2060"/>
    </row>
    <row r="56" spans="1:28" ht="53.4" customHeight="1">
      <c r="A56" s="2060"/>
      <c r="B56" s="2060"/>
      <c r="C56" s="2060"/>
      <c r="D56" s="808"/>
      <c r="E56" s="2138" t="s">
        <v>2356</v>
      </c>
      <c r="F56" s="2138" t="s">
        <v>2357</v>
      </c>
      <c r="G56" s="2138" t="s">
        <v>2358</v>
      </c>
      <c r="H56" s="2138" t="s">
        <v>239</v>
      </c>
      <c r="I56" s="2138"/>
      <c r="J56" s="2138" t="s">
        <v>239</v>
      </c>
      <c r="K56" s="2138"/>
      <c r="L56" s="2138" t="s">
        <v>2359</v>
      </c>
      <c r="M56" s="2140">
        <f>20*120*6*2</f>
        <v>28800</v>
      </c>
      <c r="N56" s="2138"/>
      <c r="O56" s="2145"/>
      <c r="P56" s="2145"/>
      <c r="Q56" s="2145">
        <f t="shared" si="6"/>
        <v>14400</v>
      </c>
      <c r="R56" s="2157"/>
      <c r="S56" s="2145"/>
      <c r="T56" s="2145"/>
      <c r="U56" s="2145"/>
      <c r="V56" s="2145">
        <f t="shared" si="7"/>
        <v>14400</v>
      </c>
      <c r="W56" s="2145"/>
      <c r="X56" s="2145"/>
      <c r="Y56" s="2145"/>
      <c r="Z56" s="2145"/>
      <c r="AA56" s="2106"/>
      <c r="AB56" s="2060"/>
    </row>
    <row r="57" spans="1:28" ht="57" customHeight="1">
      <c r="A57" s="2060"/>
      <c r="B57" s="2060"/>
      <c r="C57" s="2060"/>
      <c r="D57" s="808"/>
      <c r="E57" s="2138"/>
      <c r="F57" s="2138"/>
      <c r="G57" s="2138"/>
      <c r="H57" s="2138"/>
      <c r="I57" s="2138"/>
      <c r="J57" s="2138"/>
      <c r="K57" s="2138"/>
      <c r="L57" s="2138" t="s">
        <v>2360</v>
      </c>
      <c r="M57" s="2140">
        <f>20*120*6*2</f>
        <v>28800</v>
      </c>
      <c r="N57" s="2138"/>
      <c r="O57" s="2145"/>
      <c r="P57" s="2145"/>
      <c r="Q57" s="2145">
        <f t="shared" si="6"/>
        <v>14400</v>
      </c>
      <c r="R57" s="2157"/>
      <c r="S57" s="2145"/>
      <c r="T57" s="2145"/>
      <c r="U57" s="2145"/>
      <c r="V57" s="2145">
        <f t="shared" si="7"/>
        <v>14400</v>
      </c>
      <c r="W57" s="2145"/>
      <c r="X57" s="2145"/>
      <c r="Y57" s="2145"/>
      <c r="Z57" s="2145"/>
      <c r="AA57" s="2106"/>
      <c r="AB57" s="2060"/>
    </row>
    <row r="58" spans="1:28" ht="99.65" customHeight="1">
      <c r="A58" s="2060"/>
      <c r="B58" s="2060"/>
      <c r="C58" s="2060"/>
      <c r="D58" s="808"/>
      <c r="E58" s="2138"/>
      <c r="F58" s="2138"/>
      <c r="G58" s="2138"/>
      <c r="H58" s="2138"/>
      <c r="I58" s="2138"/>
      <c r="J58" s="2138"/>
      <c r="K58" s="2138"/>
      <c r="L58" s="2138" t="s">
        <v>2361</v>
      </c>
      <c r="M58" s="2140">
        <f>20*120*7*2</f>
        <v>33600</v>
      </c>
      <c r="N58" s="2138"/>
      <c r="O58" s="2145"/>
      <c r="P58" s="2145"/>
      <c r="Q58" s="2145">
        <f t="shared" si="6"/>
        <v>16800</v>
      </c>
      <c r="R58" s="2157"/>
      <c r="S58" s="2145"/>
      <c r="T58" s="2145"/>
      <c r="U58" s="2145"/>
      <c r="V58" s="2145">
        <f t="shared" si="7"/>
        <v>16800</v>
      </c>
      <c r="W58" s="2145"/>
      <c r="X58" s="2145"/>
      <c r="Y58" s="2145"/>
      <c r="Z58" s="2145"/>
      <c r="AA58" s="2106"/>
      <c r="AB58" s="2060"/>
    </row>
    <row r="59" spans="1:28" ht="62.4" customHeight="1">
      <c r="A59" s="2060"/>
      <c r="B59" s="2060"/>
      <c r="C59" s="2060"/>
      <c r="D59" s="808"/>
      <c r="E59" s="2138"/>
      <c r="F59" s="2138"/>
      <c r="G59" s="2138"/>
      <c r="H59" s="2138"/>
      <c r="I59" s="2138"/>
      <c r="J59" s="2138"/>
      <c r="K59" s="2138"/>
      <c r="L59" s="2138" t="s">
        <v>2362</v>
      </c>
      <c r="M59" s="2140">
        <f>20*120*6*2</f>
        <v>28800</v>
      </c>
      <c r="N59" s="2138"/>
      <c r="O59" s="2145"/>
      <c r="P59" s="2145"/>
      <c r="Q59" s="2145">
        <f t="shared" si="6"/>
        <v>14400</v>
      </c>
      <c r="R59" s="2157"/>
      <c r="S59" s="2145"/>
      <c r="T59" s="2145"/>
      <c r="U59" s="2145"/>
      <c r="V59" s="2145">
        <f t="shared" si="7"/>
        <v>14400</v>
      </c>
      <c r="W59" s="2145"/>
      <c r="X59" s="2145"/>
      <c r="Y59" s="2145"/>
      <c r="Z59" s="2145"/>
      <c r="AA59" s="2106"/>
      <c r="AB59" s="2060"/>
    </row>
    <row r="60" spans="1:28" ht="55.2" customHeight="1">
      <c r="A60" s="2060"/>
      <c r="B60" s="2060"/>
      <c r="C60" s="2060"/>
      <c r="D60" s="810"/>
      <c r="E60" s="2138" t="s">
        <v>2363</v>
      </c>
      <c r="F60" s="2138" t="s">
        <v>2364</v>
      </c>
      <c r="G60" s="2138" t="s">
        <v>2365</v>
      </c>
      <c r="H60" s="2138"/>
      <c r="I60" s="2138" t="s">
        <v>239</v>
      </c>
      <c r="J60" s="2138"/>
      <c r="K60" s="2138" t="s">
        <v>239</v>
      </c>
      <c r="L60" s="2138" t="s">
        <v>2366</v>
      </c>
      <c r="M60" s="2140">
        <f>25*2*80*2</f>
        <v>8000</v>
      </c>
      <c r="N60" s="2138"/>
      <c r="O60" s="2145"/>
      <c r="P60" s="2145"/>
      <c r="Q60" s="2145"/>
      <c r="R60" s="2157">
        <f>M60/2</f>
        <v>4000</v>
      </c>
      <c r="S60" s="2145"/>
      <c r="T60" s="2145"/>
      <c r="U60" s="2145"/>
      <c r="V60" s="2145"/>
      <c r="W60" s="2157">
        <f>M60/2</f>
        <v>4000</v>
      </c>
      <c r="X60" s="2145"/>
      <c r="Y60" s="2145"/>
      <c r="Z60" s="2145"/>
      <c r="AA60" s="2106"/>
      <c r="AB60" s="2060"/>
    </row>
    <row r="61" spans="1:28" ht="42.65" customHeight="1">
      <c r="A61" s="2060"/>
      <c r="B61" s="2060"/>
      <c r="C61" s="2060"/>
      <c r="D61" s="808"/>
      <c r="E61" s="2138"/>
      <c r="F61" s="2138"/>
      <c r="G61" s="2138"/>
      <c r="H61" s="2138"/>
      <c r="I61" s="2138" t="s">
        <v>239</v>
      </c>
      <c r="J61" s="2138"/>
      <c r="K61" s="2138" t="s">
        <v>239</v>
      </c>
      <c r="L61" s="2138" t="s">
        <v>2367</v>
      </c>
      <c r="M61" s="2140">
        <f>80*70*2</f>
        <v>11200</v>
      </c>
      <c r="N61" s="2138"/>
      <c r="O61" s="2145"/>
      <c r="P61" s="2145"/>
      <c r="Q61" s="2145"/>
      <c r="R61" s="2157">
        <f>M61/2</f>
        <v>5600</v>
      </c>
      <c r="S61" s="2145"/>
      <c r="T61" s="2145"/>
      <c r="U61" s="2145"/>
      <c r="V61" s="2145"/>
      <c r="W61" s="2157">
        <f>M61/2</f>
        <v>5600</v>
      </c>
      <c r="X61" s="2145"/>
      <c r="Y61" s="2145"/>
      <c r="Z61" s="2145"/>
      <c r="AA61" s="2106"/>
      <c r="AB61" s="2060"/>
    </row>
    <row r="62" spans="1:28" ht="38.4" customHeight="1">
      <c r="A62" s="2076"/>
      <c r="B62" s="2076"/>
      <c r="C62" s="2076"/>
      <c r="D62" s="2131">
        <v>6</v>
      </c>
      <c r="E62" s="2132" t="s">
        <v>2368</v>
      </c>
      <c r="F62" s="2133"/>
      <c r="G62" s="2133"/>
      <c r="H62" s="2134"/>
      <c r="I62" s="2134"/>
      <c r="J62" s="2134"/>
      <c r="K62" s="2134"/>
      <c r="L62" s="2133"/>
      <c r="M62" s="2135"/>
      <c r="N62" s="2136">
        <f>SUM(M63:M64)</f>
        <v>4800</v>
      </c>
      <c r="O62" s="2137">
        <f>SUM(O63:O64)</f>
        <v>0</v>
      </c>
      <c r="P62" s="2137">
        <f t="shared" ref="P62:Z62" si="8">SUM(P63:P64)</f>
        <v>0</v>
      </c>
      <c r="Q62" s="2137">
        <f t="shared" si="8"/>
        <v>0</v>
      </c>
      <c r="R62" s="2137">
        <f t="shared" si="8"/>
        <v>0</v>
      </c>
      <c r="S62" s="2137">
        <f t="shared" si="8"/>
        <v>0</v>
      </c>
      <c r="T62" s="2137">
        <f t="shared" si="8"/>
        <v>0</v>
      </c>
      <c r="U62" s="2137">
        <f t="shared" si="8"/>
        <v>0</v>
      </c>
      <c r="V62" s="2137">
        <f t="shared" si="8"/>
        <v>0</v>
      </c>
      <c r="W62" s="2137">
        <f t="shared" si="8"/>
        <v>0</v>
      </c>
      <c r="X62" s="2137">
        <f t="shared" si="8"/>
        <v>2400</v>
      </c>
      <c r="Y62" s="2137">
        <f t="shared" si="8"/>
        <v>2400</v>
      </c>
      <c r="Z62" s="2137">
        <f t="shared" si="8"/>
        <v>0</v>
      </c>
      <c r="AA62" s="2080" t="s">
        <v>2294</v>
      </c>
      <c r="AB62" s="2085" t="s">
        <v>280</v>
      </c>
    </row>
    <row r="63" spans="1:28" ht="69.650000000000006" customHeight="1">
      <c r="A63" s="2060"/>
      <c r="B63" s="2060"/>
      <c r="C63" s="2060"/>
      <c r="D63" s="2060"/>
      <c r="E63" s="2158" t="s">
        <v>2369</v>
      </c>
      <c r="F63" s="2158" t="s">
        <v>2370</v>
      </c>
      <c r="G63" s="2138" t="s">
        <v>2371</v>
      </c>
      <c r="H63" s="2069"/>
      <c r="I63" s="2069"/>
      <c r="J63" s="2069"/>
      <c r="K63" s="2069" t="s">
        <v>768</v>
      </c>
      <c r="L63" s="2089" t="s">
        <v>2372</v>
      </c>
      <c r="M63" s="2070">
        <f>20*70*2</f>
        <v>2800</v>
      </c>
      <c r="N63" s="2090"/>
      <c r="O63" s="2099"/>
      <c r="P63" s="2097"/>
      <c r="Q63" s="2097"/>
      <c r="R63" s="2097"/>
      <c r="S63" s="2097"/>
      <c r="T63" s="2097"/>
      <c r="U63" s="2097"/>
      <c r="V63" s="2097"/>
      <c r="W63" s="2097"/>
      <c r="X63" s="2097">
        <f>M63/2</f>
        <v>1400</v>
      </c>
      <c r="Y63" s="2097">
        <f>M63/2</f>
        <v>1400</v>
      </c>
      <c r="Z63" s="2097"/>
      <c r="AA63" s="809"/>
      <c r="AB63" s="809"/>
    </row>
    <row r="64" spans="1:28" ht="51" customHeight="1">
      <c r="A64" s="2060"/>
      <c r="B64" s="2060"/>
      <c r="C64" s="2060"/>
      <c r="D64" s="2060"/>
      <c r="E64" s="2158"/>
      <c r="F64" s="2158"/>
      <c r="G64" s="2158"/>
      <c r="H64" s="2069"/>
      <c r="I64" s="2069"/>
      <c r="J64" s="2069"/>
      <c r="K64" s="2069"/>
      <c r="L64" s="2089" t="s">
        <v>2373</v>
      </c>
      <c r="M64" s="2070">
        <f>20*2*25*2</f>
        <v>2000</v>
      </c>
      <c r="N64" s="2090"/>
      <c r="O64" s="2099"/>
      <c r="P64" s="2097"/>
      <c r="Q64" s="2097"/>
      <c r="R64" s="2097"/>
      <c r="S64" s="2097"/>
      <c r="T64" s="2097"/>
      <c r="U64" s="2097"/>
      <c r="V64" s="2097"/>
      <c r="W64" s="2097"/>
      <c r="X64" s="2097">
        <f>M64/2</f>
        <v>1000</v>
      </c>
      <c r="Y64" s="2097">
        <f>M64/2</f>
        <v>1000</v>
      </c>
      <c r="Z64" s="2097"/>
      <c r="AA64" s="809"/>
      <c r="AB64" s="809"/>
    </row>
    <row r="65" spans="1:31" ht="45">
      <c r="A65" s="2159">
        <v>4</v>
      </c>
      <c r="B65" s="2159">
        <v>11</v>
      </c>
      <c r="C65" s="2159">
        <v>33</v>
      </c>
      <c r="D65" s="2160">
        <v>7</v>
      </c>
      <c r="E65" s="2161" t="s">
        <v>2374</v>
      </c>
      <c r="F65" s="2162"/>
      <c r="G65" s="2162"/>
      <c r="H65" s="2160"/>
      <c r="I65" s="2160"/>
      <c r="J65" s="2160"/>
      <c r="K65" s="2163"/>
      <c r="L65" s="2162"/>
      <c r="M65" s="2164"/>
      <c r="N65" s="2165">
        <f>SUM(M66:M69)</f>
        <v>7200</v>
      </c>
      <c r="O65" s="2166">
        <f>SUM(O66:O69)</f>
        <v>0</v>
      </c>
      <c r="P65" s="2166">
        <f t="shared" ref="P65:Z65" si="9">SUM(P66:P69)</f>
        <v>0</v>
      </c>
      <c r="Q65" s="2166">
        <f t="shared" si="9"/>
        <v>0</v>
      </c>
      <c r="R65" s="2166">
        <f t="shared" si="9"/>
        <v>0</v>
      </c>
      <c r="S65" s="2166">
        <f t="shared" si="9"/>
        <v>0</v>
      </c>
      <c r="T65" s="2166">
        <f t="shared" si="9"/>
        <v>0</v>
      </c>
      <c r="U65" s="2166">
        <f t="shared" si="9"/>
        <v>7200</v>
      </c>
      <c r="V65" s="2166">
        <f t="shared" si="9"/>
        <v>0</v>
      </c>
      <c r="W65" s="2166">
        <f t="shared" si="9"/>
        <v>0</v>
      </c>
      <c r="X65" s="2166">
        <f t="shared" si="9"/>
        <v>0</v>
      </c>
      <c r="Y65" s="2166">
        <f t="shared" si="9"/>
        <v>0</v>
      </c>
      <c r="Z65" s="2166">
        <f t="shared" si="9"/>
        <v>0</v>
      </c>
      <c r="AA65" s="2080" t="s">
        <v>2294</v>
      </c>
      <c r="AB65" s="2085" t="s">
        <v>280</v>
      </c>
      <c r="AC65" s="2042">
        <v>4</v>
      </c>
      <c r="AD65" s="2042">
        <v>11</v>
      </c>
      <c r="AE65" s="2042">
        <v>33</v>
      </c>
    </row>
    <row r="66" spans="1:31" ht="41.15">
      <c r="D66" s="2116"/>
      <c r="E66" s="2116" t="s">
        <v>2375</v>
      </c>
      <c r="F66" s="2116"/>
      <c r="G66" s="2116" t="s">
        <v>2376</v>
      </c>
      <c r="H66" s="2167"/>
      <c r="I66" s="2167" t="s">
        <v>239</v>
      </c>
      <c r="J66" s="2167"/>
      <c r="K66" s="2168"/>
      <c r="L66" s="2089" t="s">
        <v>2275</v>
      </c>
      <c r="M66" s="2140"/>
      <c r="N66" s="2138"/>
      <c r="O66" s="2141"/>
      <c r="P66" s="2141"/>
      <c r="Q66" s="2141"/>
      <c r="R66" s="2141"/>
      <c r="S66" s="2141"/>
      <c r="T66" s="2141"/>
      <c r="U66" s="2157"/>
      <c r="V66" s="2157"/>
      <c r="W66" s="2141"/>
      <c r="X66" s="2141"/>
      <c r="Y66" s="2141"/>
      <c r="Z66" s="2141"/>
      <c r="AA66" s="2060"/>
      <c r="AB66" s="2060"/>
    </row>
    <row r="67" spans="1:31" ht="54.9">
      <c r="D67" s="2124"/>
      <c r="E67" s="2116" t="s">
        <v>2377</v>
      </c>
      <c r="F67" s="2116"/>
      <c r="G67" s="2125" t="s">
        <v>2378</v>
      </c>
      <c r="H67" s="2167"/>
      <c r="I67" s="2167" t="s">
        <v>239</v>
      </c>
      <c r="J67" s="2169"/>
      <c r="K67" s="2168"/>
      <c r="L67" s="2089" t="s">
        <v>2275</v>
      </c>
      <c r="M67" s="2140"/>
      <c r="N67" s="2138"/>
      <c r="O67" s="2141"/>
      <c r="P67" s="2141"/>
      <c r="Q67" s="2141"/>
      <c r="R67" s="2141"/>
      <c r="S67" s="2141"/>
      <c r="T67" s="2141"/>
      <c r="U67" s="2141"/>
      <c r="V67" s="2157"/>
      <c r="W67" s="2141"/>
      <c r="X67" s="2141"/>
      <c r="Y67" s="2141"/>
      <c r="Z67" s="2141"/>
      <c r="AA67" s="2060"/>
      <c r="AB67" s="2060"/>
    </row>
    <row r="68" spans="1:31" ht="54.9">
      <c r="D68" s="2124"/>
      <c r="E68" s="2138" t="s">
        <v>2379</v>
      </c>
      <c r="F68" s="2138"/>
      <c r="G68" s="2118" t="s">
        <v>2380</v>
      </c>
      <c r="H68" s="2139"/>
      <c r="I68" s="2139"/>
      <c r="J68" s="2139" t="s">
        <v>239</v>
      </c>
      <c r="K68" s="2170"/>
      <c r="L68" s="2089" t="s">
        <v>2381</v>
      </c>
      <c r="M68" s="2070">
        <f>20*120*3</f>
        <v>7200</v>
      </c>
      <c r="N68" s="2138"/>
      <c r="O68" s="2141"/>
      <c r="P68" s="2141"/>
      <c r="Q68" s="2141"/>
      <c r="R68" s="2141"/>
      <c r="S68" s="2141"/>
      <c r="T68" s="2141"/>
      <c r="U68" s="2141">
        <v>7200</v>
      </c>
      <c r="V68" s="2141"/>
      <c r="W68" s="2141"/>
      <c r="X68" s="2141"/>
      <c r="Y68" s="2141"/>
      <c r="Z68" s="2141"/>
      <c r="AA68" s="2060"/>
      <c r="AB68" s="2060"/>
    </row>
    <row r="69" spans="1:31">
      <c r="D69" s="2115"/>
      <c r="E69" s="2138"/>
      <c r="F69" s="2138"/>
      <c r="G69" s="2118"/>
      <c r="H69" s="2139"/>
      <c r="I69" s="2139"/>
      <c r="J69" s="2139" t="s">
        <v>239</v>
      </c>
      <c r="K69" s="2170"/>
      <c r="L69" s="2089"/>
      <c r="M69" s="2070"/>
      <c r="N69" s="2138"/>
      <c r="O69" s="2141"/>
      <c r="P69" s="2141"/>
      <c r="Q69" s="2141"/>
      <c r="R69" s="2141"/>
      <c r="S69" s="2141"/>
      <c r="T69" s="2141"/>
      <c r="U69" s="2141"/>
      <c r="V69" s="2141"/>
      <c r="W69" s="2141"/>
      <c r="X69" s="2141"/>
      <c r="Y69" s="2141"/>
      <c r="Z69" s="2141"/>
      <c r="AA69" s="2060"/>
      <c r="AB69" s="2060"/>
    </row>
    <row r="70" spans="1:31" s="2178" customFormat="1">
      <c r="A70" s="2159">
        <v>4</v>
      </c>
      <c r="B70" s="2159">
        <v>11</v>
      </c>
      <c r="C70" s="2159">
        <v>33</v>
      </c>
      <c r="D70" s="2131">
        <v>8</v>
      </c>
      <c r="E70" s="2171" t="s">
        <v>2382</v>
      </c>
      <c r="F70" s="2172"/>
      <c r="G70" s="2173"/>
      <c r="H70" s="2174"/>
      <c r="I70" s="2174"/>
      <c r="J70" s="2174"/>
      <c r="K70" s="2175"/>
      <c r="L70" s="2174"/>
      <c r="M70" s="2176"/>
      <c r="N70" s="2114">
        <f>SUM(M71:M73)</f>
        <v>2400</v>
      </c>
      <c r="O70" s="2177">
        <f t="shared" ref="O70:Z70" si="10">SUM(O71:O73)</f>
        <v>0</v>
      </c>
      <c r="P70" s="2177">
        <f t="shared" si="10"/>
        <v>0</v>
      </c>
      <c r="Q70" s="2177">
        <f t="shared" si="10"/>
        <v>0</v>
      </c>
      <c r="R70" s="2177">
        <f t="shared" si="10"/>
        <v>2400</v>
      </c>
      <c r="S70" s="2177">
        <f t="shared" si="10"/>
        <v>0</v>
      </c>
      <c r="T70" s="2177">
        <f t="shared" si="10"/>
        <v>0</v>
      </c>
      <c r="U70" s="2177">
        <f t="shared" si="10"/>
        <v>0</v>
      </c>
      <c r="V70" s="2177">
        <f t="shared" si="10"/>
        <v>0</v>
      </c>
      <c r="W70" s="2177">
        <f t="shared" si="10"/>
        <v>0</v>
      </c>
      <c r="X70" s="2177">
        <f t="shared" si="10"/>
        <v>0</v>
      </c>
      <c r="Y70" s="2177">
        <f t="shared" si="10"/>
        <v>0</v>
      </c>
      <c r="Z70" s="2177">
        <f t="shared" si="10"/>
        <v>0</v>
      </c>
      <c r="AA70" s="2080" t="s">
        <v>2294</v>
      </c>
      <c r="AB70" s="2085" t="s">
        <v>280</v>
      </c>
      <c r="AC70" s="2042">
        <v>4</v>
      </c>
      <c r="AD70" s="2042">
        <v>11</v>
      </c>
      <c r="AE70" s="2042">
        <v>33</v>
      </c>
    </row>
    <row r="71" spans="1:31" s="2178" customFormat="1" ht="105.45" customHeight="1">
      <c r="A71" s="2042"/>
      <c r="B71" s="2042"/>
      <c r="C71" s="2042"/>
      <c r="D71" s="2086"/>
      <c r="E71" s="2089" t="s">
        <v>2383</v>
      </c>
      <c r="F71" s="2089" t="s">
        <v>2384</v>
      </c>
      <c r="G71" s="2116" t="s">
        <v>2385</v>
      </c>
      <c r="H71" s="2069"/>
      <c r="I71" s="2069" t="s">
        <v>768</v>
      </c>
      <c r="J71" s="2069"/>
      <c r="K71" s="2088"/>
      <c r="L71" s="2089"/>
      <c r="M71" s="2070"/>
      <c r="N71" s="2179"/>
      <c r="O71" s="2180"/>
      <c r="P71" s="2180"/>
      <c r="Q71" s="2180"/>
      <c r="R71" s="2091"/>
      <c r="S71" s="2180"/>
      <c r="T71" s="2180"/>
      <c r="U71" s="2180" t="s">
        <v>978</v>
      </c>
      <c r="V71" s="2180"/>
      <c r="W71" s="2180"/>
      <c r="X71" s="2180"/>
      <c r="Y71" s="2180"/>
      <c r="Z71" s="2180"/>
      <c r="AA71" s="2106"/>
      <c r="AB71" s="2060"/>
      <c r="AC71" s="2042"/>
      <c r="AD71" s="2042"/>
      <c r="AE71" s="2042"/>
    </row>
    <row r="72" spans="1:31" s="2178" customFormat="1" ht="118.75" customHeight="1">
      <c r="A72" s="2042"/>
      <c r="B72" s="2042"/>
      <c r="C72" s="2042"/>
      <c r="D72" s="2094"/>
      <c r="E72" s="2089" t="s">
        <v>2386</v>
      </c>
      <c r="F72" s="2089" t="s">
        <v>2387</v>
      </c>
      <c r="G72" s="2116" t="s">
        <v>2388</v>
      </c>
      <c r="H72" s="2069"/>
      <c r="I72" s="2069" t="s">
        <v>768</v>
      </c>
      <c r="J72" s="2069"/>
      <c r="K72" s="2088"/>
      <c r="L72" s="2118" t="s">
        <v>2389</v>
      </c>
      <c r="M72" s="2070">
        <f>120*10*2</f>
        <v>2400</v>
      </c>
      <c r="N72" s="2179"/>
      <c r="O72" s="2145"/>
      <c r="P72" s="2145"/>
      <c r="Q72" s="2145"/>
      <c r="R72" s="2091">
        <v>2400</v>
      </c>
      <c r="S72" s="2145"/>
      <c r="T72" s="2145"/>
      <c r="U72" s="2145"/>
      <c r="V72" s="2145"/>
      <c r="W72" s="2145"/>
      <c r="X72" s="2145"/>
      <c r="Y72" s="2145"/>
      <c r="Z72" s="2145"/>
      <c r="AA72" s="2106"/>
      <c r="AB72" s="2060"/>
      <c r="AC72" s="2042"/>
      <c r="AD72" s="2042"/>
      <c r="AE72" s="2042"/>
    </row>
    <row r="73" spans="1:31" s="2178" customFormat="1" ht="137.15">
      <c r="A73" s="2042"/>
      <c r="B73" s="2042"/>
      <c r="C73" s="2042"/>
      <c r="D73" s="2098"/>
      <c r="E73" s="2089" t="s">
        <v>2390</v>
      </c>
      <c r="F73" s="2089" t="s">
        <v>2391</v>
      </c>
      <c r="G73" s="2158" t="s">
        <v>2392</v>
      </c>
      <c r="H73" s="2069"/>
      <c r="I73" s="2069" t="s">
        <v>768</v>
      </c>
      <c r="J73" s="2069"/>
      <c r="K73" s="2088"/>
      <c r="L73" s="2089"/>
      <c r="M73" s="2070"/>
      <c r="N73" s="2179"/>
      <c r="O73" s="2145"/>
      <c r="P73" s="2145"/>
      <c r="Q73" s="2145"/>
      <c r="R73" s="2091"/>
      <c r="S73" s="2145"/>
      <c r="T73" s="2145"/>
      <c r="U73" s="2145"/>
      <c r="V73" s="2145"/>
      <c r="W73" s="2145"/>
      <c r="X73" s="2145"/>
      <c r="Y73" s="2145"/>
      <c r="Z73" s="2145"/>
      <c r="AA73" s="2106"/>
      <c r="AB73" s="2060"/>
      <c r="AC73" s="2042"/>
      <c r="AD73" s="2042"/>
      <c r="AE73" s="2042"/>
    </row>
    <row r="74" spans="1:31" s="2093" customFormat="1">
      <c r="A74" s="2159">
        <v>4</v>
      </c>
      <c r="B74" s="2159">
        <v>11</v>
      </c>
      <c r="C74" s="2159">
        <v>33</v>
      </c>
      <c r="D74" s="2131">
        <v>9</v>
      </c>
      <c r="E74" s="2152" t="s">
        <v>2393</v>
      </c>
      <c r="F74" s="2152"/>
      <c r="G74" s="2152"/>
      <c r="H74" s="2152" t="s">
        <v>239</v>
      </c>
      <c r="I74" s="2152" t="s">
        <v>239</v>
      </c>
      <c r="J74" s="2152" t="s">
        <v>239</v>
      </c>
      <c r="K74" s="2181" t="s">
        <v>239</v>
      </c>
      <c r="L74" s="2152"/>
      <c r="M74" s="2177"/>
      <c r="N74" s="2114">
        <f>SUM(M75:M76)</f>
        <v>25200</v>
      </c>
      <c r="O74" s="2177">
        <f>SUM(O75:O76)</f>
        <v>0</v>
      </c>
      <c r="P74" s="2177">
        <f t="shared" ref="P74:Z74" si="11">SUM(P75:P76)</f>
        <v>8400</v>
      </c>
      <c r="Q74" s="2177">
        <f t="shared" si="11"/>
        <v>0</v>
      </c>
      <c r="R74" s="2177">
        <f t="shared" si="11"/>
        <v>0</v>
      </c>
      <c r="S74" s="2177">
        <f t="shared" si="11"/>
        <v>8400</v>
      </c>
      <c r="T74" s="2177">
        <f t="shared" si="11"/>
        <v>0</v>
      </c>
      <c r="U74" s="2177">
        <f t="shared" si="11"/>
        <v>0</v>
      </c>
      <c r="V74" s="2177">
        <f t="shared" si="11"/>
        <v>0</v>
      </c>
      <c r="W74" s="2177">
        <f t="shared" si="11"/>
        <v>0</v>
      </c>
      <c r="X74" s="2177">
        <f t="shared" si="11"/>
        <v>0</v>
      </c>
      <c r="Y74" s="2177">
        <f t="shared" si="11"/>
        <v>8400</v>
      </c>
      <c r="Z74" s="2177">
        <f t="shared" si="11"/>
        <v>0</v>
      </c>
      <c r="AA74" s="2080" t="s">
        <v>2294</v>
      </c>
      <c r="AB74" s="2085" t="s">
        <v>280</v>
      </c>
      <c r="AC74" s="2042">
        <v>4</v>
      </c>
      <c r="AD74" s="2042">
        <v>11</v>
      </c>
      <c r="AE74" s="2042">
        <v>33</v>
      </c>
    </row>
    <row r="75" spans="1:31" s="2093" customFormat="1" ht="45">
      <c r="A75" s="2042"/>
      <c r="B75" s="2042"/>
      <c r="C75" s="2042"/>
      <c r="D75" s="2086"/>
      <c r="E75" s="2106" t="s">
        <v>2394</v>
      </c>
      <c r="F75" s="2106"/>
      <c r="G75" s="2182" t="s">
        <v>2395</v>
      </c>
      <c r="H75" s="2106" t="s">
        <v>239</v>
      </c>
      <c r="I75" s="2106" t="s">
        <v>239</v>
      </c>
      <c r="J75" s="2106" t="s">
        <v>239</v>
      </c>
      <c r="K75" s="2183" t="s">
        <v>239</v>
      </c>
      <c r="L75" s="2182" t="s">
        <v>2541</v>
      </c>
      <c r="M75" s="2184">
        <f>70*70*3</f>
        <v>14700</v>
      </c>
      <c r="N75" s="2185"/>
      <c r="O75" s="2145"/>
      <c r="P75" s="2145">
        <v>4900</v>
      </c>
      <c r="Q75" s="2145"/>
      <c r="R75" s="2145"/>
      <c r="S75" s="2145">
        <v>4900</v>
      </c>
      <c r="T75" s="2145"/>
      <c r="U75" s="2145"/>
      <c r="V75" s="2145"/>
      <c r="W75" s="2145"/>
      <c r="X75" s="2145"/>
      <c r="Y75" s="2145">
        <v>4900</v>
      </c>
      <c r="Z75" s="2145"/>
      <c r="AA75" s="2106"/>
      <c r="AB75" s="2060"/>
      <c r="AC75" s="2042"/>
      <c r="AD75" s="2042"/>
      <c r="AE75" s="2042"/>
    </row>
    <row r="76" spans="1:31" s="2093" customFormat="1" ht="45">
      <c r="A76" s="2042"/>
      <c r="B76" s="2042"/>
      <c r="C76" s="2042"/>
      <c r="D76" s="2098"/>
      <c r="E76" s="2183"/>
      <c r="F76" s="2186"/>
      <c r="G76" s="2182" t="s">
        <v>2540</v>
      </c>
      <c r="H76" s="2106"/>
      <c r="I76" s="2106"/>
      <c r="J76" s="2106"/>
      <c r="K76" s="2183"/>
      <c r="L76" s="2182" t="s">
        <v>2396</v>
      </c>
      <c r="M76" s="2184">
        <f>25*2*3*70</f>
        <v>10500</v>
      </c>
      <c r="N76" s="2185"/>
      <c r="O76" s="2145"/>
      <c r="P76" s="2145">
        <v>3500</v>
      </c>
      <c r="Q76" s="2145"/>
      <c r="R76" s="2145"/>
      <c r="S76" s="2145">
        <v>3500</v>
      </c>
      <c r="T76" s="2145"/>
      <c r="U76" s="2145"/>
      <c r="V76" s="2145"/>
      <c r="W76" s="2145"/>
      <c r="X76" s="2145"/>
      <c r="Y76" s="2145">
        <v>3500</v>
      </c>
      <c r="Z76" s="2145"/>
      <c r="AA76" s="2106"/>
      <c r="AB76" s="2060"/>
      <c r="AC76" s="2042"/>
      <c r="AD76" s="2042"/>
      <c r="AE76" s="2042"/>
    </row>
    <row r="77" spans="1:31" s="2093" customFormat="1" ht="45">
      <c r="A77" s="2159">
        <v>4</v>
      </c>
      <c r="B77" s="2159">
        <v>11</v>
      </c>
      <c r="C77" s="2159">
        <v>33</v>
      </c>
      <c r="D77" s="2131">
        <v>10</v>
      </c>
      <c r="E77" s="2152" t="s">
        <v>2397</v>
      </c>
      <c r="F77" s="2152"/>
      <c r="G77" s="2152"/>
      <c r="H77" s="2152" t="s">
        <v>239</v>
      </c>
      <c r="I77" s="2152" t="s">
        <v>239</v>
      </c>
      <c r="J77" s="2152" t="s">
        <v>239</v>
      </c>
      <c r="K77" s="2181" t="s">
        <v>239</v>
      </c>
      <c r="L77" s="2152"/>
      <c r="M77" s="2177"/>
      <c r="N77" s="2114">
        <f>SUM(M78:M79)</f>
        <v>81600</v>
      </c>
      <c r="O77" s="2156">
        <f>SUM(O78:O79)</f>
        <v>4000</v>
      </c>
      <c r="P77" s="2156">
        <f t="shared" ref="P77:Z77" si="12">SUM(P78:P79)</f>
        <v>9600</v>
      </c>
      <c r="Q77" s="2156">
        <f t="shared" si="12"/>
        <v>4000</v>
      </c>
      <c r="R77" s="2156">
        <f t="shared" si="12"/>
        <v>9600</v>
      </c>
      <c r="S77" s="2156">
        <f t="shared" si="12"/>
        <v>4000</v>
      </c>
      <c r="T77" s="2156">
        <f t="shared" si="12"/>
        <v>9600</v>
      </c>
      <c r="U77" s="2156">
        <f t="shared" si="12"/>
        <v>4000</v>
      </c>
      <c r="V77" s="2156">
        <f t="shared" si="12"/>
        <v>9600</v>
      </c>
      <c r="W77" s="2156">
        <f t="shared" si="12"/>
        <v>4000</v>
      </c>
      <c r="X77" s="2156">
        <f t="shared" si="12"/>
        <v>9600</v>
      </c>
      <c r="Y77" s="2156">
        <f t="shared" si="12"/>
        <v>4000</v>
      </c>
      <c r="Z77" s="2156">
        <f t="shared" si="12"/>
        <v>9600</v>
      </c>
      <c r="AA77" s="2080" t="s">
        <v>2294</v>
      </c>
      <c r="AB77" s="2085" t="s">
        <v>280</v>
      </c>
      <c r="AC77" s="2042">
        <v>4</v>
      </c>
      <c r="AD77" s="2042">
        <v>11</v>
      </c>
      <c r="AE77" s="2042">
        <v>33</v>
      </c>
    </row>
    <row r="78" spans="1:31" s="2093" customFormat="1" ht="114" customHeight="1">
      <c r="A78" s="2042"/>
      <c r="B78" s="2042"/>
      <c r="C78" s="2042"/>
      <c r="D78" s="2086"/>
      <c r="E78" s="2182" t="s">
        <v>2398</v>
      </c>
      <c r="F78" s="2182"/>
      <c r="G78" s="2182" t="s">
        <v>2399</v>
      </c>
      <c r="H78" s="2106" t="s">
        <v>239</v>
      </c>
      <c r="I78" s="2106" t="s">
        <v>239</v>
      </c>
      <c r="J78" s="2106" t="s">
        <v>239</v>
      </c>
      <c r="K78" s="2183" t="s">
        <v>239</v>
      </c>
      <c r="L78" s="2182" t="s">
        <v>2400</v>
      </c>
      <c r="M78" s="2184">
        <f>25*2*80*12</f>
        <v>48000</v>
      </c>
      <c r="N78" s="2185"/>
      <c r="O78" s="2145">
        <v>4000</v>
      </c>
      <c r="P78" s="2145">
        <v>4000</v>
      </c>
      <c r="Q78" s="2145">
        <v>4000</v>
      </c>
      <c r="R78" s="2145">
        <v>4000</v>
      </c>
      <c r="S78" s="2145">
        <v>4000</v>
      </c>
      <c r="T78" s="2145">
        <v>4000</v>
      </c>
      <c r="U78" s="2145">
        <v>4000</v>
      </c>
      <c r="V78" s="2145">
        <v>4000</v>
      </c>
      <c r="W78" s="2145">
        <v>4000</v>
      </c>
      <c r="X78" s="2145">
        <v>4000</v>
      </c>
      <c r="Y78" s="2145">
        <v>4000</v>
      </c>
      <c r="Z78" s="2145">
        <v>4000</v>
      </c>
      <c r="AA78" s="2106"/>
      <c r="AB78" s="2060"/>
      <c r="AC78" s="2042"/>
      <c r="AD78" s="2042"/>
      <c r="AE78" s="2042"/>
    </row>
    <row r="79" spans="1:31" s="2093" customFormat="1" ht="45">
      <c r="A79" s="2042"/>
      <c r="B79" s="2042"/>
      <c r="C79" s="2042"/>
      <c r="D79" s="2098"/>
      <c r="E79" s="2187"/>
      <c r="F79" s="2188"/>
      <c r="G79" s="2182"/>
      <c r="H79" s="2106"/>
      <c r="I79" s="2106"/>
      <c r="J79" s="2106"/>
      <c r="K79" s="2183"/>
      <c r="L79" s="2189" t="s">
        <v>2542</v>
      </c>
      <c r="M79" s="2190">
        <f>70*80*6</f>
        <v>33600</v>
      </c>
      <c r="N79" s="2185"/>
      <c r="O79" s="2145"/>
      <c r="P79" s="2145">
        <v>5600</v>
      </c>
      <c r="Q79" s="2145"/>
      <c r="R79" s="2145">
        <v>5600</v>
      </c>
      <c r="S79" s="2145"/>
      <c r="T79" s="2145">
        <v>5600</v>
      </c>
      <c r="U79" s="2145"/>
      <c r="V79" s="2145">
        <v>5600</v>
      </c>
      <c r="W79" s="2145"/>
      <c r="X79" s="2145">
        <v>5600</v>
      </c>
      <c r="Y79" s="2145"/>
      <c r="Z79" s="2145">
        <v>5600</v>
      </c>
      <c r="AA79" s="2106"/>
      <c r="AB79" s="2060"/>
      <c r="AC79" s="2042"/>
      <c r="AD79" s="2042"/>
      <c r="AE79" s="2042"/>
    </row>
    <row r="80" spans="1:31" ht="28.3" customHeight="1">
      <c r="A80" s="2076">
        <v>3</v>
      </c>
      <c r="B80" s="2076">
        <v>10</v>
      </c>
      <c r="C80" s="2076">
        <v>30</v>
      </c>
      <c r="D80" s="2131">
        <v>11</v>
      </c>
      <c r="E80" s="2132" t="s">
        <v>2401</v>
      </c>
      <c r="F80" s="2133"/>
      <c r="G80" s="2133"/>
      <c r="H80" s="2134"/>
      <c r="I80" s="2134"/>
      <c r="J80" s="2134"/>
      <c r="K80" s="2134"/>
      <c r="L80" s="2133"/>
      <c r="M80" s="2135"/>
      <c r="N80" s="2136">
        <f>SUM(M81:M86)</f>
        <v>9600</v>
      </c>
      <c r="O80" s="2137">
        <f>SUM(O81:O86)</f>
        <v>0</v>
      </c>
      <c r="P80" s="2137">
        <f t="shared" ref="P80:Z80" si="13">SUM(P81:P86)</f>
        <v>0</v>
      </c>
      <c r="Q80" s="2137">
        <f t="shared" si="13"/>
        <v>0</v>
      </c>
      <c r="R80" s="2137">
        <f t="shared" si="13"/>
        <v>0</v>
      </c>
      <c r="S80" s="2137">
        <f t="shared" si="13"/>
        <v>0</v>
      </c>
      <c r="T80" s="2137">
        <f t="shared" si="13"/>
        <v>0</v>
      </c>
      <c r="U80" s="2137">
        <f t="shared" si="13"/>
        <v>0</v>
      </c>
      <c r="V80" s="2137">
        <f t="shared" si="13"/>
        <v>0</v>
      </c>
      <c r="W80" s="2137">
        <f t="shared" si="13"/>
        <v>0</v>
      </c>
      <c r="X80" s="2137">
        <f t="shared" si="13"/>
        <v>0</v>
      </c>
      <c r="Y80" s="2137">
        <f t="shared" si="13"/>
        <v>9600</v>
      </c>
      <c r="Z80" s="2137">
        <f t="shared" si="13"/>
        <v>0</v>
      </c>
      <c r="AA80" s="2080" t="s">
        <v>2294</v>
      </c>
      <c r="AB80" s="2085" t="s">
        <v>2290</v>
      </c>
      <c r="AC80" s="2076">
        <v>3</v>
      </c>
      <c r="AD80" s="2076">
        <v>10</v>
      </c>
      <c r="AE80" s="2076">
        <v>30</v>
      </c>
    </row>
    <row r="81" spans="1:31" ht="68.599999999999994">
      <c r="A81" s="2060"/>
      <c r="B81" s="2060"/>
      <c r="C81" s="2060"/>
      <c r="D81" s="2060"/>
      <c r="E81" s="2189" t="s">
        <v>2402</v>
      </c>
      <c r="F81" s="2189"/>
      <c r="G81" s="2189" t="s">
        <v>2543</v>
      </c>
      <c r="H81" s="2101"/>
      <c r="I81" s="2101"/>
      <c r="J81" s="2101"/>
      <c r="K81" s="2101" t="s">
        <v>768</v>
      </c>
      <c r="L81" s="2104" t="s">
        <v>2403</v>
      </c>
      <c r="M81" s="2191">
        <f>80*25*2</f>
        <v>4000</v>
      </c>
      <c r="N81" s="2090"/>
      <c r="O81" s="2099"/>
      <c r="P81" s="2097"/>
      <c r="Q81" s="2097"/>
      <c r="R81" s="2097"/>
      <c r="S81" s="2097"/>
      <c r="T81" s="2097"/>
      <c r="U81" s="2097"/>
      <c r="V81" s="2097"/>
      <c r="W81" s="2097"/>
      <c r="X81" s="2097"/>
      <c r="Y81" s="2097">
        <v>4000</v>
      </c>
      <c r="Z81" s="2097"/>
      <c r="AA81" s="809"/>
      <c r="AB81" s="809"/>
      <c r="AC81" s="2060"/>
      <c r="AD81" s="2060"/>
      <c r="AE81" s="2060"/>
    </row>
    <row r="82" spans="1:31" ht="45">
      <c r="A82" s="2060"/>
      <c r="B82" s="2060"/>
      <c r="C82" s="2060"/>
      <c r="D82" s="2060"/>
      <c r="E82" s="2189"/>
      <c r="F82" s="2189"/>
      <c r="G82" s="2189"/>
      <c r="H82" s="2101"/>
      <c r="I82" s="2101"/>
      <c r="J82" s="2101"/>
      <c r="K82" s="2101"/>
      <c r="L82" s="2104" t="s">
        <v>2544</v>
      </c>
      <c r="M82" s="2191">
        <f>80*70*1</f>
        <v>5600</v>
      </c>
      <c r="N82" s="2090"/>
      <c r="O82" s="2099"/>
      <c r="P82" s="2097"/>
      <c r="Q82" s="2097"/>
      <c r="R82" s="2097"/>
      <c r="S82" s="2097"/>
      <c r="T82" s="2097"/>
      <c r="U82" s="2097"/>
      <c r="V82" s="2097"/>
      <c r="W82" s="2097"/>
      <c r="X82" s="2097"/>
      <c r="Y82" s="2097">
        <v>5600</v>
      </c>
      <c r="Z82" s="2097"/>
      <c r="AA82" s="809"/>
      <c r="AB82" s="809"/>
      <c r="AC82" s="2060"/>
      <c r="AD82" s="2060"/>
      <c r="AE82" s="2060"/>
    </row>
    <row r="83" spans="1:31">
      <c r="D83" s="2060"/>
      <c r="E83" s="2189"/>
      <c r="F83" s="2189"/>
      <c r="G83" s="2189"/>
      <c r="H83" s="2101"/>
      <c r="I83" s="2101"/>
      <c r="J83" s="2101"/>
      <c r="K83" s="2103"/>
      <c r="L83" s="2104"/>
      <c r="M83" s="2191"/>
      <c r="N83" s="2090"/>
      <c r="O83" s="2099"/>
      <c r="P83" s="2097"/>
      <c r="Q83" s="2097"/>
      <c r="R83" s="2097"/>
      <c r="S83" s="2097"/>
      <c r="T83" s="2097"/>
      <c r="U83" s="2097"/>
      <c r="V83" s="2097"/>
      <c r="W83" s="2097"/>
      <c r="X83" s="2097"/>
      <c r="Y83" s="2097"/>
      <c r="Z83" s="2097"/>
      <c r="AA83" s="809"/>
      <c r="AB83" s="809"/>
    </row>
    <row r="84" spans="1:31">
      <c r="D84" s="2060"/>
      <c r="E84" s="2189"/>
      <c r="F84" s="2189"/>
      <c r="G84" s="2189"/>
      <c r="H84" s="2101"/>
      <c r="I84" s="2101"/>
      <c r="J84" s="2101"/>
      <c r="K84" s="2103"/>
      <c r="L84" s="2104"/>
      <c r="M84" s="2191"/>
      <c r="N84" s="2090"/>
      <c r="O84" s="2099"/>
      <c r="P84" s="2097"/>
      <c r="Q84" s="2097"/>
      <c r="R84" s="2097"/>
      <c r="S84" s="2097"/>
      <c r="T84" s="2097"/>
      <c r="U84" s="2097"/>
      <c r="V84" s="2097"/>
      <c r="W84" s="2097"/>
      <c r="X84" s="2097"/>
      <c r="Y84" s="2097"/>
      <c r="Z84" s="2097"/>
      <c r="AA84" s="809"/>
      <c r="AB84" s="809"/>
    </row>
    <row r="85" spans="1:31">
      <c r="D85" s="2060"/>
      <c r="E85" s="2189"/>
      <c r="F85" s="2189"/>
      <c r="G85" s="2189"/>
      <c r="H85" s="2101"/>
      <c r="I85" s="2101"/>
      <c r="J85" s="2101"/>
      <c r="K85" s="2103"/>
      <c r="L85" s="2192"/>
      <c r="M85" s="2191"/>
      <c r="N85" s="2090"/>
      <c r="O85" s="2099"/>
      <c r="P85" s="2097"/>
      <c r="Q85" s="2097"/>
      <c r="R85" s="2097"/>
      <c r="S85" s="2097"/>
      <c r="T85" s="2097"/>
      <c r="U85" s="2097"/>
      <c r="V85" s="2097"/>
      <c r="W85" s="2097"/>
      <c r="X85" s="2097"/>
      <c r="Y85" s="2097"/>
      <c r="Z85" s="2097"/>
      <c r="AA85" s="809"/>
      <c r="AB85" s="809"/>
    </row>
    <row r="86" spans="1:31">
      <c r="D86" s="2060"/>
      <c r="E86" s="2158"/>
      <c r="F86" s="2158"/>
      <c r="G86" s="2158"/>
      <c r="H86" s="2069"/>
      <c r="I86" s="2069"/>
      <c r="J86" s="2069"/>
      <c r="K86" s="2088"/>
      <c r="L86" s="2125"/>
      <c r="M86" s="2119"/>
      <c r="N86" s="2090"/>
      <c r="O86" s="2099"/>
      <c r="P86" s="2097"/>
      <c r="Q86" s="2097"/>
      <c r="R86" s="2097"/>
      <c r="S86" s="2097"/>
      <c r="T86" s="2097"/>
      <c r="U86" s="2097"/>
      <c r="V86" s="2097"/>
      <c r="W86" s="2097"/>
      <c r="X86" s="2097"/>
      <c r="Y86" s="2097"/>
      <c r="Z86" s="2097"/>
      <c r="AA86" s="809"/>
      <c r="AB86" s="809"/>
    </row>
    <row r="87" spans="1:31" s="2093" customFormat="1" ht="45">
      <c r="A87" s="2159">
        <v>4</v>
      </c>
      <c r="B87" s="2159">
        <v>11</v>
      </c>
      <c r="C87" s="2159">
        <v>33</v>
      </c>
      <c r="D87" s="2131">
        <v>12</v>
      </c>
      <c r="E87" s="2152" t="s">
        <v>2404</v>
      </c>
      <c r="F87" s="2152"/>
      <c r="G87" s="2152"/>
      <c r="H87" s="2152" t="s">
        <v>239</v>
      </c>
      <c r="I87" s="2152" t="s">
        <v>239</v>
      </c>
      <c r="J87" s="2152" t="s">
        <v>239</v>
      </c>
      <c r="K87" s="2181" t="s">
        <v>239</v>
      </c>
      <c r="L87" s="2152"/>
      <c r="M87" s="2177"/>
      <c r="N87" s="2114">
        <f>SUM(M88:M89)</f>
        <v>52200</v>
      </c>
      <c r="O87" s="2156">
        <f>SUM(O88:O89)</f>
        <v>4350</v>
      </c>
      <c r="P87" s="2156">
        <f t="shared" ref="P87:Z87" si="14">SUM(P88:P89)</f>
        <v>4350</v>
      </c>
      <c r="Q87" s="2156">
        <f t="shared" si="14"/>
        <v>4350</v>
      </c>
      <c r="R87" s="2156">
        <f t="shared" si="14"/>
        <v>4350</v>
      </c>
      <c r="S87" s="2156">
        <f t="shared" si="14"/>
        <v>4350</v>
      </c>
      <c r="T87" s="2156">
        <f t="shared" si="14"/>
        <v>4350</v>
      </c>
      <c r="U87" s="2156">
        <f t="shared" si="14"/>
        <v>4350</v>
      </c>
      <c r="V87" s="2156">
        <f t="shared" si="14"/>
        <v>4350</v>
      </c>
      <c r="W87" s="2156">
        <f t="shared" si="14"/>
        <v>4350</v>
      </c>
      <c r="X87" s="2156">
        <f t="shared" si="14"/>
        <v>4350</v>
      </c>
      <c r="Y87" s="2156">
        <f t="shared" si="14"/>
        <v>4350</v>
      </c>
      <c r="Z87" s="2156">
        <f t="shared" si="14"/>
        <v>4350</v>
      </c>
      <c r="AA87" s="2080" t="s">
        <v>2294</v>
      </c>
      <c r="AB87" s="2085" t="s">
        <v>280</v>
      </c>
      <c r="AC87" s="2042">
        <v>4</v>
      </c>
      <c r="AD87" s="2042">
        <v>11</v>
      </c>
      <c r="AE87" s="2042">
        <v>33</v>
      </c>
    </row>
    <row r="88" spans="1:31" s="2093" customFormat="1" ht="54.9">
      <c r="A88" s="2042"/>
      <c r="B88" s="2042"/>
      <c r="C88" s="2042"/>
      <c r="D88" s="2086"/>
      <c r="E88" s="2182" t="s">
        <v>2405</v>
      </c>
      <c r="F88" s="2106"/>
      <c r="G88" s="2106" t="s">
        <v>2406</v>
      </c>
      <c r="H88" s="2106" t="s">
        <v>239</v>
      </c>
      <c r="I88" s="2106" t="s">
        <v>239</v>
      </c>
      <c r="J88" s="2106" t="s">
        <v>239</v>
      </c>
      <c r="K88" s="2183" t="s">
        <v>239</v>
      </c>
      <c r="L88" s="2182" t="s">
        <v>2407</v>
      </c>
      <c r="M88" s="2184">
        <f>70*30*12</f>
        <v>25200</v>
      </c>
      <c r="N88" s="2185"/>
      <c r="O88" s="2145">
        <v>2100</v>
      </c>
      <c r="P88" s="2145">
        <v>2100</v>
      </c>
      <c r="Q88" s="2145">
        <v>2100</v>
      </c>
      <c r="R88" s="2145">
        <v>2100</v>
      </c>
      <c r="S88" s="2145">
        <v>2100</v>
      </c>
      <c r="T88" s="2145">
        <v>2100</v>
      </c>
      <c r="U88" s="2145">
        <v>2100</v>
      </c>
      <c r="V88" s="2145">
        <v>2100</v>
      </c>
      <c r="W88" s="2145">
        <v>2100</v>
      </c>
      <c r="X88" s="2145">
        <v>2100</v>
      </c>
      <c r="Y88" s="2145">
        <v>2100</v>
      </c>
      <c r="Z88" s="2145">
        <v>2100</v>
      </c>
      <c r="AA88" s="2106"/>
      <c r="AB88" s="2060"/>
      <c r="AC88" s="2042"/>
      <c r="AD88" s="2042"/>
      <c r="AE88" s="2042"/>
    </row>
    <row r="89" spans="1:31" s="2093" customFormat="1" ht="45">
      <c r="A89" s="2042"/>
      <c r="B89" s="2042"/>
      <c r="C89" s="2042"/>
      <c r="D89" s="2098"/>
      <c r="E89" s="2183"/>
      <c r="F89" s="2186"/>
      <c r="G89" s="2106" t="s">
        <v>2408</v>
      </c>
      <c r="H89" s="2106" t="s">
        <v>239</v>
      </c>
      <c r="I89" s="2106" t="s">
        <v>239</v>
      </c>
      <c r="J89" s="2106" t="s">
        <v>239</v>
      </c>
      <c r="K89" s="2183" t="s">
        <v>239</v>
      </c>
      <c r="L89" s="2182" t="s">
        <v>2409</v>
      </c>
      <c r="M89" s="2184">
        <f>25*1*30*36</f>
        <v>27000</v>
      </c>
      <c r="N89" s="2185"/>
      <c r="O89" s="2145">
        <f>30*25*3</f>
        <v>2250</v>
      </c>
      <c r="P89" s="2145">
        <f t="shared" ref="P89:Z89" si="15">30*25*3</f>
        <v>2250</v>
      </c>
      <c r="Q89" s="2145">
        <f t="shared" si="15"/>
        <v>2250</v>
      </c>
      <c r="R89" s="2145">
        <f t="shared" si="15"/>
        <v>2250</v>
      </c>
      <c r="S89" s="2145">
        <f t="shared" si="15"/>
        <v>2250</v>
      </c>
      <c r="T89" s="2145">
        <f t="shared" si="15"/>
        <v>2250</v>
      </c>
      <c r="U89" s="2145">
        <f t="shared" si="15"/>
        <v>2250</v>
      </c>
      <c r="V89" s="2145">
        <f t="shared" si="15"/>
        <v>2250</v>
      </c>
      <c r="W89" s="2145">
        <f t="shared" si="15"/>
        <v>2250</v>
      </c>
      <c r="X89" s="2145">
        <f t="shared" si="15"/>
        <v>2250</v>
      </c>
      <c r="Y89" s="2145">
        <f t="shared" si="15"/>
        <v>2250</v>
      </c>
      <c r="Z89" s="2145">
        <f t="shared" si="15"/>
        <v>2250</v>
      </c>
      <c r="AA89" s="2106"/>
      <c r="AB89" s="2060"/>
      <c r="AC89" s="2042"/>
      <c r="AD89" s="2042"/>
      <c r="AE89" s="2042"/>
    </row>
    <row r="90" spans="1:31" s="2093" customFormat="1" ht="29.15" customHeight="1">
      <c r="A90" s="2159">
        <v>3</v>
      </c>
      <c r="B90" s="2159">
        <v>10</v>
      </c>
      <c r="C90" s="2159">
        <v>30</v>
      </c>
      <c r="D90" s="2131">
        <v>13</v>
      </c>
      <c r="E90" s="2152" t="s">
        <v>2410</v>
      </c>
      <c r="F90" s="2152"/>
      <c r="G90" s="2193"/>
      <c r="H90" s="2152"/>
      <c r="I90" s="2152" t="s">
        <v>768</v>
      </c>
      <c r="J90" s="2152" t="s">
        <v>768</v>
      </c>
      <c r="K90" s="2152" t="s">
        <v>768</v>
      </c>
      <c r="L90" s="2193"/>
      <c r="M90" s="2177"/>
      <c r="N90" s="2194">
        <f>SUM(M92:M96)</f>
        <v>36000</v>
      </c>
      <c r="O90" s="2156">
        <f>SUM(O91:O96)</f>
        <v>0</v>
      </c>
      <c r="P90" s="2156">
        <f t="shared" ref="P90:Z90" si="16">SUM(P91:P96)</f>
        <v>6000</v>
      </c>
      <c r="Q90" s="2156">
        <f t="shared" si="16"/>
        <v>0</v>
      </c>
      <c r="R90" s="2156">
        <f t="shared" si="16"/>
        <v>6000</v>
      </c>
      <c r="S90" s="2156">
        <f t="shared" si="16"/>
        <v>0</v>
      </c>
      <c r="T90" s="2156">
        <f t="shared" si="16"/>
        <v>6000</v>
      </c>
      <c r="U90" s="2156">
        <f t="shared" si="16"/>
        <v>0</v>
      </c>
      <c r="V90" s="2156">
        <f t="shared" si="16"/>
        <v>6000</v>
      </c>
      <c r="W90" s="2156">
        <f t="shared" si="16"/>
        <v>0</v>
      </c>
      <c r="X90" s="2156">
        <f t="shared" si="16"/>
        <v>6000</v>
      </c>
      <c r="Y90" s="2156">
        <f t="shared" si="16"/>
        <v>0</v>
      </c>
      <c r="Z90" s="2156">
        <f t="shared" si="16"/>
        <v>6000</v>
      </c>
      <c r="AA90" s="2080" t="s">
        <v>2294</v>
      </c>
      <c r="AB90" s="2085" t="s">
        <v>280</v>
      </c>
      <c r="AC90" s="2042">
        <v>3</v>
      </c>
      <c r="AD90" s="2042">
        <v>10</v>
      </c>
      <c r="AE90" s="2042">
        <v>30</v>
      </c>
    </row>
    <row r="91" spans="1:31" s="2093" customFormat="1">
      <c r="A91" s="2042"/>
      <c r="B91" s="2042"/>
      <c r="C91" s="2042"/>
      <c r="D91" s="2086"/>
      <c r="E91" s="2106" t="s">
        <v>2411</v>
      </c>
      <c r="F91" s="2106"/>
      <c r="G91" s="2182"/>
      <c r="H91" s="2106"/>
      <c r="I91" s="2106"/>
      <c r="J91" s="2106"/>
      <c r="K91" s="2106"/>
      <c r="L91" s="2182"/>
      <c r="M91" s="2184"/>
      <c r="N91" s="2195"/>
      <c r="O91" s="2145"/>
      <c r="P91" s="2145"/>
      <c r="Q91" s="2145"/>
      <c r="R91" s="2145"/>
      <c r="S91" s="2145"/>
      <c r="T91" s="2145"/>
      <c r="U91" s="2145"/>
      <c r="V91" s="2145"/>
      <c r="W91" s="2145"/>
      <c r="X91" s="2145"/>
      <c r="Y91" s="2145"/>
      <c r="Z91" s="2145"/>
      <c r="AA91" s="2106"/>
      <c r="AB91" s="2106"/>
      <c r="AC91" s="2042"/>
      <c r="AD91" s="2042"/>
      <c r="AE91" s="2042"/>
    </row>
    <row r="92" spans="1:31" s="2093" customFormat="1" ht="96">
      <c r="A92" s="2042"/>
      <c r="B92" s="2042"/>
      <c r="C92" s="2042"/>
      <c r="D92" s="2094"/>
      <c r="E92" s="2106"/>
      <c r="F92" s="2182" t="s">
        <v>2412</v>
      </c>
      <c r="G92" s="2182" t="s">
        <v>2413</v>
      </c>
      <c r="H92" s="2106"/>
      <c r="I92" s="2106" t="s">
        <v>768</v>
      </c>
      <c r="J92" s="2106" t="s">
        <v>768</v>
      </c>
      <c r="K92" s="2106" t="s">
        <v>768</v>
      </c>
      <c r="L92" s="2182" t="s">
        <v>2414</v>
      </c>
      <c r="M92" s="2184">
        <f>25*70*6</f>
        <v>10500</v>
      </c>
      <c r="N92" s="2106"/>
      <c r="O92" s="2145"/>
      <c r="P92" s="2145">
        <f>25*70</f>
        <v>1750</v>
      </c>
      <c r="Q92" s="2145"/>
      <c r="R92" s="2145">
        <v>1750</v>
      </c>
      <c r="S92" s="2145"/>
      <c r="T92" s="2145">
        <v>1750</v>
      </c>
      <c r="U92" s="2145"/>
      <c r="V92" s="2145">
        <v>1750</v>
      </c>
      <c r="W92" s="2145"/>
      <c r="X92" s="2145">
        <v>1750</v>
      </c>
      <c r="Y92" s="2145"/>
      <c r="Z92" s="2145">
        <v>1750</v>
      </c>
      <c r="AA92" s="2106"/>
      <c r="AB92" s="2106"/>
      <c r="AC92" s="2042"/>
      <c r="AD92" s="2042"/>
      <c r="AE92" s="2042"/>
    </row>
    <row r="93" spans="1:31" s="2093" customFormat="1" ht="45">
      <c r="A93" s="2042"/>
      <c r="B93" s="2042"/>
      <c r="C93" s="2042"/>
      <c r="D93" s="2098"/>
      <c r="E93" s="2183"/>
      <c r="F93" s="2186"/>
      <c r="G93" s="2106"/>
      <c r="H93" s="2106"/>
      <c r="I93" s="2106" t="s">
        <v>768</v>
      </c>
      <c r="J93" s="2106" t="s">
        <v>768</v>
      </c>
      <c r="K93" s="2106" t="s">
        <v>768</v>
      </c>
      <c r="L93" s="2182" t="s">
        <v>2415</v>
      </c>
      <c r="M93" s="2184">
        <f>25*25*2*6</f>
        <v>7500</v>
      </c>
      <c r="N93" s="2106"/>
      <c r="O93" s="2145"/>
      <c r="P93" s="2145">
        <f>25*2*25</f>
        <v>1250</v>
      </c>
      <c r="Q93" s="2145"/>
      <c r="R93" s="2145">
        <f>25*2*25</f>
        <v>1250</v>
      </c>
      <c r="S93" s="2145"/>
      <c r="T93" s="2145">
        <f>25*2*25</f>
        <v>1250</v>
      </c>
      <c r="U93" s="2145"/>
      <c r="V93" s="2145">
        <f>25*2*25</f>
        <v>1250</v>
      </c>
      <c r="W93" s="2145"/>
      <c r="X93" s="2145">
        <f>25*2*25</f>
        <v>1250</v>
      </c>
      <c r="Y93" s="2145"/>
      <c r="Z93" s="2145">
        <f>25*2*25</f>
        <v>1250</v>
      </c>
      <c r="AA93" s="2106"/>
      <c r="AB93" s="2106"/>
      <c r="AC93" s="2042"/>
      <c r="AD93" s="2042"/>
      <c r="AE93" s="2042"/>
    </row>
    <row r="94" spans="1:31" s="2093" customFormat="1">
      <c r="A94" s="2042"/>
      <c r="B94" s="2042"/>
      <c r="C94" s="2042"/>
      <c r="D94" s="807"/>
      <c r="E94" s="2093" t="s">
        <v>2416</v>
      </c>
      <c r="M94" s="2196"/>
      <c r="N94" s="2197"/>
      <c r="O94" s="2198"/>
      <c r="P94" s="2198"/>
      <c r="Q94" s="2198"/>
      <c r="R94" s="2198"/>
      <c r="S94" s="2198"/>
      <c r="T94" s="2198"/>
      <c r="U94" s="2198"/>
      <c r="V94" s="2198"/>
      <c r="W94" s="2198"/>
      <c r="X94" s="2198"/>
      <c r="Y94" s="2198"/>
      <c r="Z94" s="2198"/>
      <c r="AC94" s="2042"/>
      <c r="AD94" s="2042"/>
      <c r="AE94" s="2042"/>
    </row>
    <row r="95" spans="1:31" s="2093" customFormat="1" ht="68.599999999999994">
      <c r="A95" s="2042"/>
      <c r="B95" s="2042"/>
      <c r="C95" s="2042"/>
      <c r="D95" s="807"/>
      <c r="E95" s="2106"/>
      <c r="F95" s="2182" t="s">
        <v>2417</v>
      </c>
      <c r="G95" s="2182" t="s">
        <v>2418</v>
      </c>
      <c r="H95" s="2106"/>
      <c r="I95" s="2106" t="s">
        <v>768</v>
      </c>
      <c r="J95" s="2106" t="s">
        <v>768</v>
      </c>
      <c r="K95" s="2106" t="s">
        <v>768</v>
      </c>
      <c r="L95" s="2182" t="s">
        <v>2419</v>
      </c>
      <c r="M95" s="2184">
        <f>25*70*6</f>
        <v>10500</v>
      </c>
      <c r="N95" s="2106"/>
      <c r="O95" s="2145"/>
      <c r="P95" s="2145">
        <v>1750</v>
      </c>
      <c r="Q95" s="2145"/>
      <c r="R95" s="2145">
        <v>1750</v>
      </c>
      <c r="S95" s="2145"/>
      <c r="T95" s="2145">
        <v>1750</v>
      </c>
      <c r="U95" s="2145"/>
      <c r="V95" s="2145">
        <v>1750</v>
      </c>
      <c r="W95" s="2145"/>
      <c r="X95" s="2145">
        <v>1750</v>
      </c>
      <c r="Y95" s="2145"/>
      <c r="Z95" s="2145">
        <v>1750</v>
      </c>
      <c r="AA95" s="2106"/>
      <c r="AB95" s="2106"/>
      <c r="AC95" s="2042"/>
      <c r="AD95" s="2042"/>
      <c r="AE95" s="2042"/>
    </row>
    <row r="96" spans="1:31" s="2093" customFormat="1" ht="45">
      <c r="A96" s="2042"/>
      <c r="B96" s="2042"/>
      <c r="C96" s="2042"/>
      <c r="D96" s="807"/>
      <c r="E96" s="2106"/>
      <c r="F96" s="2106"/>
      <c r="G96" s="2106"/>
      <c r="H96" s="2106"/>
      <c r="I96" s="2106" t="s">
        <v>768</v>
      </c>
      <c r="J96" s="2106" t="s">
        <v>768</v>
      </c>
      <c r="K96" s="2106" t="s">
        <v>768</v>
      </c>
      <c r="L96" s="2182" t="s">
        <v>2415</v>
      </c>
      <c r="M96" s="2184">
        <f>25*25*2*6</f>
        <v>7500</v>
      </c>
      <c r="N96" s="2106"/>
      <c r="O96" s="2145"/>
      <c r="P96" s="2145">
        <f>25*2*25</f>
        <v>1250</v>
      </c>
      <c r="Q96" s="2145"/>
      <c r="R96" s="2145">
        <f>25*2*25</f>
        <v>1250</v>
      </c>
      <c r="S96" s="2145"/>
      <c r="T96" s="2145">
        <f>25*2*25</f>
        <v>1250</v>
      </c>
      <c r="U96" s="2145"/>
      <c r="V96" s="2145">
        <f>25*2*25</f>
        <v>1250</v>
      </c>
      <c r="W96" s="2145"/>
      <c r="X96" s="2145">
        <f>25*2*25</f>
        <v>1250</v>
      </c>
      <c r="Y96" s="2145"/>
      <c r="Z96" s="2145">
        <f>25*2*25</f>
        <v>1250</v>
      </c>
      <c r="AA96" s="2106"/>
      <c r="AB96" s="2106"/>
      <c r="AC96" s="2042"/>
      <c r="AD96" s="2042"/>
      <c r="AE96" s="2042"/>
    </row>
    <row r="97" spans="1:31" ht="23.6" customHeight="1">
      <c r="A97" s="2159">
        <v>4</v>
      </c>
      <c r="B97" s="2159">
        <v>11</v>
      </c>
      <c r="C97" s="2159">
        <v>33</v>
      </c>
      <c r="D97" s="2131">
        <v>14</v>
      </c>
      <c r="E97" s="2152" t="s">
        <v>2420</v>
      </c>
      <c r="F97" s="2152"/>
      <c r="G97" s="2152"/>
      <c r="H97" s="2152"/>
      <c r="I97" s="2152" t="s">
        <v>768</v>
      </c>
      <c r="J97" s="2152"/>
      <c r="K97" s="2152"/>
      <c r="L97" s="2152"/>
      <c r="M97" s="2177"/>
      <c r="N97" s="2194">
        <f>SUM(M98:M101)</f>
        <v>14400</v>
      </c>
      <c r="O97" s="2156">
        <f t="shared" ref="O97:Z97" si="17">SUM(O98:O101)</f>
        <v>0</v>
      </c>
      <c r="P97" s="2156">
        <f t="shared" si="17"/>
        <v>0</v>
      </c>
      <c r="Q97" s="2156">
        <f t="shared" si="17"/>
        <v>0</v>
      </c>
      <c r="R97" s="2156">
        <f t="shared" si="17"/>
        <v>0</v>
      </c>
      <c r="S97" s="2156">
        <f t="shared" si="17"/>
        <v>0</v>
      </c>
      <c r="T97" s="2156">
        <f t="shared" si="17"/>
        <v>0</v>
      </c>
      <c r="U97" s="2156">
        <f t="shared" si="17"/>
        <v>0</v>
      </c>
      <c r="V97" s="2156">
        <f t="shared" si="17"/>
        <v>3600</v>
      </c>
      <c r="W97" s="2156">
        <f t="shared" si="17"/>
        <v>0</v>
      </c>
      <c r="X97" s="2156">
        <f t="shared" si="17"/>
        <v>10800</v>
      </c>
      <c r="Y97" s="2156">
        <f t="shared" si="17"/>
        <v>0</v>
      </c>
      <c r="Z97" s="2156">
        <f t="shared" si="17"/>
        <v>0</v>
      </c>
      <c r="AA97" s="2081" t="s">
        <v>2294</v>
      </c>
      <c r="AB97" s="2199" t="s">
        <v>280</v>
      </c>
      <c r="AC97" s="2042">
        <v>4</v>
      </c>
      <c r="AD97" s="2042">
        <v>11</v>
      </c>
      <c r="AE97" s="2042">
        <v>33</v>
      </c>
    </row>
    <row r="98" spans="1:31" ht="192">
      <c r="D98" s="2200"/>
      <c r="E98" s="2201" t="s">
        <v>2421</v>
      </c>
      <c r="F98" s="2201" t="s">
        <v>2422</v>
      </c>
      <c r="G98" s="2201" t="s">
        <v>2423</v>
      </c>
      <c r="H98" s="2185"/>
      <c r="I98" s="2185" t="s">
        <v>768</v>
      </c>
      <c r="J98" s="2185"/>
      <c r="K98" s="2185"/>
      <c r="L98" s="2182" t="s">
        <v>2424</v>
      </c>
      <c r="M98" s="2184">
        <f>70*60</f>
        <v>4200</v>
      </c>
      <c r="N98" s="2185"/>
      <c r="O98" s="2145"/>
      <c r="P98" s="2145"/>
      <c r="Q98" s="2145"/>
      <c r="R98" s="2145"/>
      <c r="S98" s="2145"/>
      <c r="T98" s="2145"/>
      <c r="U98" s="2145"/>
      <c r="V98" s="2145"/>
      <c r="W98" s="2145"/>
      <c r="X98" s="2145">
        <v>4200</v>
      </c>
      <c r="Y98" s="2145"/>
      <c r="Z98" s="2145"/>
      <c r="AA98" s="2185"/>
      <c r="AB98" s="2185"/>
    </row>
    <row r="99" spans="1:31" ht="45">
      <c r="D99" s="2202"/>
      <c r="E99" s="2185"/>
      <c r="F99" s="2185"/>
      <c r="G99" s="2185"/>
      <c r="H99" s="2185"/>
      <c r="I99" s="2185"/>
      <c r="J99" s="2185" t="s">
        <v>768</v>
      </c>
      <c r="K99" s="2185"/>
      <c r="L99" s="2182" t="s">
        <v>2425</v>
      </c>
      <c r="M99" s="2184">
        <f>25*2*1*60</f>
        <v>3000</v>
      </c>
      <c r="N99" s="2185"/>
      <c r="O99" s="2145"/>
      <c r="P99" s="2145"/>
      <c r="Q99" s="2145"/>
      <c r="R99" s="2145"/>
      <c r="S99" s="2145"/>
      <c r="T99" s="2145"/>
      <c r="U99" s="2145"/>
      <c r="V99" s="2145"/>
      <c r="W99" s="2145"/>
      <c r="X99" s="2145">
        <v>3000</v>
      </c>
      <c r="Y99" s="2145"/>
      <c r="Z99" s="2145"/>
      <c r="AA99" s="2185"/>
      <c r="AB99" s="2185"/>
    </row>
    <row r="100" spans="1:31" ht="68.599999999999994">
      <c r="D100" s="2202"/>
      <c r="E100" s="2201" t="s">
        <v>2426</v>
      </c>
      <c r="F100" s="2185"/>
      <c r="G100" s="2201" t="s">
        <v>2427</v>
      </c>
      <c r="H100" s="2185"/>
      <c r="I100" s="2185"/>
      <c r="J100" s="2185"/>
      <c r="K100" s="2185"/>
      <c r="L100" s="2182" t="s">
        <v>2428</v>
      </c>
      <c r="M100" s="2184">
        <f>2*70*30</f>
        <v>4200</v>
      </c>
      <c r="N100" s="2185"/>
      <c r="O100" s="2145"/>
      <c r="P100" s="2145"/>
      <c r="Q100" s="2145"/>
      <c r="R100" s="2145"/>
      <c r="S100" s="2145"/>
      <c r="T100" s="2145"/>
      <c r="U100" s="2145"/>
      <c r="V100" s="2145">
        <v>2100</v>
      </c>
      <c r="W100" s="2145"/>
      <c r="X100" s="2145">
        <v>2100</v>
      </c>
      <c r="Y100" s="2145"/>
      <c r="Z100" s="2145"/>
      <c r="AA100" s="2203"/>
      <c r="AB100" s="2203"/>
    </row>
    <row r="101" spans="1:31" ht="45">
      <c r="D101" s="2202"/>
      <c r="E101" s="2185"/>
      <c r="F101" s="2185"/>
      <c r="G101" s="2185"/>
      <c r="H101" s="2185"/>
      <c r="I101" s="2185"/>
      <c r="J101" s="2185"/>
      <c r="K101" s="2185"/>
      <c r="L101" s="2182" t="s">
        <v>2429</v>
      </c>
      <c r="M101" s="2184">
        <f>25*2*2*30</f>
        <v>3000</v>
      </c>
      <c r="N101" s="2185"/>
      <c r="O101" s="2145"/>
      <c r="P101" s="2145"/>
      <c r="Q101" s="2145"/>
      <c r="R101" s="2145"/>
      <c r="S101" s="2145"/>
      <c r="T101" s="2145"/>
      <c r="U101" s="2145"/>
      <c r="V101" s="2145">
        <v>1500</v>
      </c>
      <c r="W101" s="2145"/>
      <c r="X101" s="2145">
        <v>1500</v>
      </c>
      <c r="Y101" s="2145"/>
      <c r="Z101" s="2145"/>
      <c r="AA101" s="2203"/>
      <c r="AB101" s="2203"/>
    </row>
    <row r="102" spans="1:31" ht="28.75" customHeight="1">
      <c r="A102" s="2159">
        <v>4</v>
      </c>
      <c r="B102" s="2159" t="s">
        <v>2430</v>
      </c>
      <c r="C102" s="2159" t="s">
        <v>2430</v>
      </c>
      <c r="D102" s="2131">
        <v>15</v>
      </c>
      <c r="E102" s="2204" t="s">
        <v>2431</v>
      </c>
      <c r="F102" s="2204"/>
      <c r="G102" s="2204"/>
      <c r="H102" s="2204"/>
      <c r="I102" s="2204"/>
      <c r="J102" s="2204"/>
      <c r="K102" s="2204"/>
      <c r="L102" s="2204"/>
      <c r="M102" s="2205"/>
      <c r="N102" s="2205">
        <f>SUM(M103:M103)</f>
        <v>12000</v>
      </c>
      <c r="O102" s="2206">
        <f t="shared" ref="O102:Z102" si="18">SUM(O103:O103)</f>
        <v>0</v>
      </c>
      <c r="P102" s="2206">
        <f t="shared" si="18"/>
        <v>0</v>
      </c>
      <c r="Q102" s="2206">
        <f t="shared" si="18"/>
        <v>0</v>
      </c>
      <c r="R102" s="2206">
        <f t="shared" si="18"/>
        <v>0</v>
      </c>
      <c r="S102" s="2206">
        <f t="shared" si="18"/>
        <v>0</v>
      </c>
      <c r="T102" s="2206">
        <f t="shared" si="18"/>
        <v>0</v>
      </c>
      <c r="U102" s="2206">
        <f t="shared" si="18"/>
        <v>12000</v>
      </c>
      <c r="V102" s="2206">
        <f t="shared" si="18"/>
        <v>0</v>
      </c>
      <c r="W102" s="2206">
        <f t="shared" si="18"/>
        <v>0</v>
      </c>
      <c r="X102" s="2206">
        <f t="shared" si="18"/>
        <v>0</v>
      </c>
      <c r="Y102" s="2206">
        <f t="shared" si="18"/>
        <v>0</v>
      </c>
      <c r="Z102" s="2206">
        <f t="shared" si="18"/>
        <v>0</v>
      </c>
      <c r="AA102" s="2204" t="s">
        <v>2294</v>
      </c>
      <c r="AB102" s="2204" t="s">
        <v>280</v>
      </c>
      <c r="AC102" s="2042">
        <v>4</v>
      </c>
      <c r="AD102" s="2042" t="s">
        <v>2430</v>
      </c>
      <c r="AE102" s="2042" t="s">
        <v>2430</v>
      </c>
    </row>
    <row r="103" spans="1:31" s="2093" customFormat="1" ht="65.599999999999994" customHeight="1">
      <c r="D103" s="2094"/>
      <c r="E103" s="2182" t="s">
        <v>2432</v>
      </c>
      <c r="F103" s="2106"/>
      <c r="G103" s="2106" t="s">
        <v>2433</v>
      </c>
      <c r="H103" s="2106"/>
      <c r="I103" s="2106"/>
      <c r="J103" s="2106"/>
      <c r="K103" s="2106"/>
      <c r="L103" s="2189" t="s">
        <v>2545</v>
      </c>
      <c r="M103" s="2207">
        <f>10*120*10</f>
        <v>12000</v>
      </c>
      <c r="N103" s="2106"/>
      <c r="O103" s="2208"/>
      <c r="P103" s="2208"/>
      <c r="Q103" s="2208"/>
      <c r="R103" s="2208"/>
      <c r="S103" s="2208"/>
      <c r="T103" s="2208"/>
      <c r="U103" s="2208">
        <v>12000</v>
      </c>
      <c r="V103" s="2208"/>
      <c r="W103" s="2208"/>
      <c r="X103" s="2208"/>
      <c r="Y103" s="2208"/>
      <c r="Z103" s="2208"/>
      <c r="AA103" s="2106"/>
      <c r="AB103" s="2106"/>
    </row>
    <row r="104" spans="1:31" ht="27.45">
      <c r="A104" s="2076">
        <v>2</v>
      </c>
      <c r="B104" s="2076">
        <v>8</v>
      </c>
      <c r="C104" s="2076">
        <v>28</v>
      </c>
      <c r="D104" s="2131">
        <v>16</v>
      </c>
      <c r="E104" s="2204" t="s">
        <v>2434</v>
      </c>
      <c r="F104" s="2204"/>
      <c r="G104" s="2204"/>
      <c r="H104" s="2204"/>
      <c r="I104" s="2204"/>
      <c r="J104" s="2204"/>
      <c r="K104" s="2204"/>
      <c r="L104" s="2204"/>
      <c r="M104" s="2205"/>
      <c r="N104" s="2205">
        <f>SUM(M105:M106)</f>
        <v>7500</v>
      </c>
      <c r="O104" s="2176">
        <f>SUM(O105:O106)</f>
        <v>0</v>
      </c>
      <c r="P104" s="2176">
        <f t="shared" ref="P104:Z104" si="19">SUM(P105:P106)</f>
        <v>0</v>
      </c>
      <c r="Q104" s="2176">
        <f t="shared" si="19"/>
        <v>3750</v>
      </c>
      <c r="R104" s="2176">
        <f t="shared" si="19"/>
        <v>0</v>
      </c>
      <c r="S104" s="2176">
        <f t="shared" si="19"/>
        <v>0</v>
      </c>
      <c r="T104" s="2176">
        <f t="shared" si="19"/>
        <v>0</v>
      </c>
      <c r="U104" s="2176">
        <f t="shared" si="19"/>
        <v>0</v>
      </c>
      <c r="V104" s="2176">
        <f t="shared" si="19"/>
        <v>0</v>
      </c>
      <c r="W104" s="2176">
        <f t="shared" si="19"/>
        <v>0</v>
      </c>
      <c r="X104" s="2176">
        <f t="shared" si="19"/>
        <v>0</v>
      </c>
      <c r="Y104" s="2176">
        <f t="shared" si="19"/>
        <v>0</v>
      </c>
      <c r="Z104" s="2176">
        <f t="shared" si="19"/>
        <v>3750</v>
      </c>
      <c r="AA104" s="2174" t="s">
        <v>2294</v>
      </c>
      <c r="AB104" s="2152" t="s">
        <v>280</v>
      </c>
      <c r="AC104" s="2060">
        <v>2</v>
      </c>
      <c r="AD104" s="2060">
        <v>8</v>
      </c>
      <c r="AE104" s="2060">
        <v>28</v>
      </c>
    </row>
    <row r="105" spans="1:31" ht="150.9">
      <c r="A105" s="2060"/>
      <c r="B105" s="2060"/>
      <c r="C105" s="2060"/>
      <c r="D105" s="808"/>
      <c r="E105" s="2182" t="s">
        <v>2435</v>
      </c>
      <c r="F105" s="2182" t="s">
        <v>2436</v>
      </c>
      <c r="G105" s="2182" t="s">
        <v>2437</v>
      </c>
      <c r="H105" s="2106"/>
      <c r="I105" s="2106"/>
      <c r="J105" s="2106"/>
      <c r="K105" s="2106"/>
      <c r="L105" s="2182" t="s">
        <v>2438</v>
      </c>
      <c r="M105" s="2209">
        <f>25*150</f>
        <v>3750</v>
      </c>
      <c r="N105" s="2210"/>
      <c r="O105" s="801"/>
      <c r="P105" s="801"/>
      <c r="Q105" s="2211">
        <v>3750</v>
      </c>
      <c r="R105" s="801"/>
      <c r="S105" s="801"/>
      <c r="T105" s="801"/>
      <c r="U105" s="801"/>
      <c r="V105" s="801"/>
      <c r="W105" s="801"/>
      <c r="X105" s="801"/>
      <c r="Y105" s="801"/>
      <c r="Z105" s="801"/>
      <c r="AA105" s="802"/>
      <c r="AB105" s="810"/>
      <c r="AC105" s="2060"/>
      <c r="AD105" s="2060"/>
      <c r="AE105" s="2060"/>
    </row>
    <row r="106" spans="1:31" ht="137.15">
      <c r="A106" s="2060"/>
      <c r="B106" s="2060"/>
      <c r="C106" s="2060"/>
      <c r="D106" s="808"/>
      <c r="E106" s="2182" t="s">
        <v>2439</v>
      </c>
      <c r="F106" s="2182" t="s">
        <v>2440</v>
      </c>
      <c r="G106" s="2182" t="s">
        <v>2437</v>
      </c>
      <c r="H106" s="2106"/>
      <c r="I106" s="2106"/>
      <c r="J106" s="2106"/>
      <c r="K106" s="2106"/>
      <c r="L106" s="2182" t="s">
        <v>2441</v>
      </c>
      <c r="M106" s="2209">
        <f>25*150</f>
        <v>3750</v>
      </c>
      <c r="N106" s="2060"/>
      <c r="O106" s="801"/>
      <c r="P106" s="801"/>
      <c r="Q106" s="801"/>
      <c r="R106" s="801"/>
      <c r="S106" s="801"/>
      <c r="T106" s="801"/>
      <c r="U106" s="801"/>
      <c r="V106" s="801"/>
      <c r="W106" s="801"/>
      <c r="X106" s="801"/>
      <c r="Y106" s="801"/>
      <c r="Z106" s="2211">
        <v>3750</v>
      </c>
      <c r="AA106" s="802"/>
      <c r="AB106" s="810"/>
      <c r="AC106" s="2060"/>
      <c r="AD106" s="2060"/>
      <c r="AE106" s="2060"/>
    </row>
    <row r="107" spans="1:31" ht="41.15">
      <c r="A107" s="2060">
        <v>4</v>
      </c>
      <c r="B107" s="2060">
        <v>12</v>
      </c>
      <c r="C107" s="2060">
        <v>3</v>
      </c>
      <c r="D107" s="2131">
        <v>17</v>
      </c>
      <c r="E107" s="2152" t="s">
        <v>2442</v>
      </c>
      <c r="F107" s="2193"/>
      <c r="G107" s="2193"/>
      <c r="H107" s="2174"/>
      <c r="I107" s="2174"/>
      <c r="J107" s="2174"/>
      <c r="K107" s="2174"/>
      <c r="L107" s="2174"/>
      <c r="M107" s="2176"/>
      <c r="N107" s="2177">
        <f>SUM(M108:M115)</f>
        <v>142200</v>
      </c>
      <c r="O107" s="2176">
        <f>SUM(O108:O115)</f>
        <v>0</v>
      </c>
      <c r="P107" s="2176">
        <f t="shared" ref="P107:Z107" si="20">SUM(P108:P115)</f>
        <v>13800</v>
      </c>
      <c r="Q107" s="2176">
        <f t="shared" si="20"/>
        <v>11400</v>
      </c>
      <c r="R107" s="2176">
        <f t="shared" si="20"/>
        <v>19800</v>
      </c>
      <c r="S107" s="2176">
        <f t="shared" si="20"/>
        <v>11400</v>
      </c>
      <c r="T107" s="2176">
        <f t="shared" si="20"/>
        <v>13800</v>
      </c>
      <c r="U107" s="2176">
        <f t="shared" si="20"/>
        <v>11400</v>
      </c>
      <c r="V107" s="2176">
        <f>SUM(V108:V115)</f>
        <v>19800</v>
      </c>
      <c r="W107" s="2176">
        <f t="shared" si="20"/>
        <v>11400</v>
      </c>
      <c r="X107" s="2176">
        <f t="shared" si="20"/>
        <v>11400</v>
      </c>
      <c r="Y107" s="2176">
        <f t="shared" si="20"/>
        <v>9000</v>
      </c>
      <c r="Z107" s="2176">
        <f t="shared" si="20"/>
        <v>9000</v>
      </c>
      <c r="AA107" s="802" t="s">
        <v>2294</v>
      </c>
      <c r="AB107" s="810" t="s">
        <v>2443</v>
      </c>
    </row>
    <row r="108" spans="1:31" ht="123.45">
      <c r="A108" s="2060"/>
      <c r="B108" s="2060"/>
      <c r="C108" s="2060"/>
      <c r="D108" s="808"/>
      <c r="E108" s="2182" t="s">
        <v>2444</v>
      </c>
      <c r="F108" s="2123" t="s">
        <v>2445</v>
      </c>
      <c r="G108" s="2123" t="s">
        <v>2446</v>
      </c>
      <c r="H108" s="802"/>
      <c r="I108" s="802"/>
      <c r="J108" s="802"/>
      <c r="K108" s="802"/>
      <c r="L108" s="2123" t="s">
        <v>2447</v>
      </c>
      <c r="M108" s="2212">
        <f>20*8*70</f>
        <v>11200</v>
      </c>
      <c r="N108" s="801"/>
      <c r="O108" s="2060"/>
      <c r="P108" s="801">
        <v>1400</v>
      </c>
      <c r="Q108" s="801">
        <v>1400</v>
      </c>
      <c r="R108" s="801">
        <v>1400</v>
      </c>
      <c r="S108" s="801">
        <v>1400</v>
      </c>
      <c r="T108" s="801">
        <v>1400</v>
      </c>
      <c r="U108" s="801">
        <v>1400</v>
      </c>
      <c r="V108" s="801">
        <v>1400</v>
      </c>
      <c r="W108" s="801">
        <v>1400</v>
      </c>
      <c r="X108" s="801"/>
      <c r="Y108" s="801"/>
      <c r="Z108" s="801"/>
      <c r="AA108" s="802"/>
      <c r="AB108" s="810"/>
    </row>
    <row r="109" spans="1:31" ht="27.45">
      <c r="A109" s="2060"/>
      <c r="B109" s="2060"/>
      <c r="C109" s="2060"/>
      <c r="D109" s="808"/>
      <c r="E109" s="2182"/>
      <c r="F109" s="2123"/>
      <c r="G109" s="2123"/>
      <c r="H109" s="802"/>
      <c r="I109" s="802"/>
      <c r="J109" s="802"/>
      <c r="K109" s="802"/>
      <c r="L109" s="2123" t="s">
        <v>2448</v>
      </c>
      <c r="M109" s="2213">
        <f>20*8*50</f>
        <v>8000</v>
      </c>
      <c r="N109" s="801"/>
      <c r="O109" s="2060"/>
      <c r="P109" s="801">
        <f t="shared" ref="P109:V109" si="21">20*50</f>
        <v>1000</v>
      </c>
      <c r="Q109" s="801">
        <f t="shared" si="21"/>
        <v>1000</v>
      </c>
      <c r="R109" s="801">
        <f t="shared" si="21"/>
        <v>1000</v>
      </c>
      <c r="S109" s="801">
        <f t="shared" si="21"/>
        <v>1000</v>
      </c>
      <c r="T109" s="801">
        <f t="shared" si="21"/>
        <v>1000</v>
      </c>
      <c r="U109" s="801">
        <f t="shared" si="21"/>
        <v>1000</v>
      </c>
      <c r="V109" s="801">
        <f t="shared" si="21"/>
        <v>1000</v>
      </c>
      <c r="W109" s="801">
        <f>20*50</f>
        <v>1000</v>
      </c>
      <c r="X109" s="801"/>
      <c r="Y109" s="801"/>
      <c r="Z109" s="801"/>
      <c r="AA109" s="802"/>
      <c r="AB109" s="810"/>
    </row>
    <row r="110" spans="1:31" ht="41.15">
      <c r="A110" s="2060"/>
      <c r="B110" s="2060"/>
      <c r="C110" s="2060"/>
      <c r="D110" s="810"/>
      <c r="E110" s="2182" t="s">
        <v>2449</v>
      </c>
      <c r="F110" s="2123"/>
      <c r="G110" s="2123" t="s">
        <v>2450</v>
      </c>
      <c r="H110" s="802"/>
      <c r="I110" s="802"/>
      <c r="J110" s="802"/>
      <c r="K110" s="802"/>
      <c r="L110" s="2123" t="s">
        <v>2451</v>
      </c>
      <c r="M110" s="2213">
        <f>15*11*5*70</f>
        <v>57750</v>
      </c>
      <c r="N110" s="801"/>
      <c r="O110" s="2060"/>
      <c r="P110" s="801">
        <f t="shared" ref="P110:Z110" si="22">15*5*70</f>
        <v>5250</v>
      </c>
      <c r="Q110" s="801">
        <f t="shared" si="22"/>
        <v>5250</v>
      </c>
      <c r="R110" s="801">
        <f t="shared" si="22"/>
        <v>5250</v>
      </c>
      <c r="S110" s="801">
        <f t="shared" si="22"/>
        <v>5250</v>
      </c>
      <c r="T110" s="801">
        <f t="shared" si="22"/>
        <v>5250</v>
      </c>
      <c r="U110" s="801">
        <f t="shared" si="22"/>
        <v>5250</v>
      </c>
      <c r="V110" s="801">
        <f t="shared" si="22"/>
        <v>5250</v>
      </c>
      <c r="W110" s="801">
        <f t="shared" si="22"/>
        <v>5250</v>
      </c>
      <c r="X110" s="801">
        <f t="shared" si="22"/>
        <v>5250</v>
      </c>
      <c r="Y110" s="801">
        <f t="shared" si="22"/>
        <v>5250</v>
      </c>
      <c r="Z110" s="801">
        <f t="shared" si="22"/>
        <v>5250</v>
      </c>
      <c r="AA110" s="802"/>
      <c r="AB110" s="810"/>
    </row>
    <row r="111" spans="1:31" ht="27.45">
      <c r="A111" s="2060"/>
      <c r="B111" s="2060"/>
      <c r="C111" s="2060"/>
      <c r="D111" s="808"/>
      <c r="E111" s="2182"/>
      <c r="F111" s="2123"/>
      <c r="G111" s="2123"/>
      <c r="H111" s="810"/>
      <c r="I111" s="810"/>
      <c r="J111" s="810"/>
      <c r="K111" s="810"/>
      <c r="L111" s="2123" t="s">
        <v>2452</v>
      </c>
      <c r="M111" s="2213">
        <f>15*11*5*50</f>
        <v>41250</v>
      </c>
      <c r="N111" s="803"/>
      <c r="O111" s="2060"/>
      <c r="P111" s="801">
        <f>15*5*50</f>
        <v>3750</v>
      </c>
      <c r="Q111" s="801">
        <f>15*5*50</f>
        <v>3750</v>
      </c>
      <c r="R111" s="801">
        <f t="shared" ref="R111:Z111" si="23">15*5*50</f>
        <v>3750</v>
      </c>
      <c r="S111" s="801">
        <f t="shared" si="23"/>
        <v>3750</v>
      </c>
      <c r="T111" s="801">
        <f t="shared" si="23"/>
        <v>3750</v>
      </c>
      <c r="U111" s="801">
        <f t="shared" si="23"/>
        <v>3750</v>
      </c>
      <c r="V111" s="801">
        <f t="shared" si="23"/>
        <v>3750</v>
      </c>
      <c r="W111" s="801">
        <f t="shared" si="23"/>
        <v>3750</v>
      </c>
      <c r="X111" s="801">
        <f t="shared" si="23"/>
        <v>3750</v>
      </c>
      <c r="Y111" s="801">
        <f t="shared" si="23"/>
        <v>3750</v>
      </c>
      <c r="Z111" s="801">
        <f t="shared" si="23"/>
        <v>3750</v>
      </c>
      <c r="AA111" s="810"/>
      <c r="AB111" s="810"/>
    </row>
    <row r="112" spans="1:31" ht="41.15">
      <c r="A112" s="2060"/>
      <c r="B112" s="2060"/>
      <c r="C112" s="2060"/>
      <c r="D112" s="810"/>
      <c r="E112" s="2182" t="s">
        <v>2453</v>
      </c>
      <c r="F112" s="2123"/>
      <c r="G112" s="2123" t="s">
        <v>2454</v>
      </c>
      <c r="H112" s="802"/>
      <c r="I112" s="810"/>
      <c r="J112" s="810"/>
      <c r="K112" s="810"/>
      <c r="L112" s="2123" t="s">
        <v>2455</v>
      </c>
      <c r="M112" s="2213">
        <f>10*5*2*70</f>
        <v>7000</v>
      </c>
      <c r="N112" s="801"/>
      <c r="O112" s="811"/>
      <c r="P112" s="811">
        <f>10*2*70</f>
        <v>1400</v>
      </c>
      <c r="Q112" s="811"/>
      <c r="R112" s="811">
        <v>1400</v>
      </c>
      <c r="S112" s="811"/>
      <c r="T112" s="811">
        <v>1400</v>
      </c>
      <c r="U112" s="811"/>
      <c r="V112" s="811">
        <v>1400</v>
      </c>
      <c r="W112" s="811"/>
      <c r="X112" s="811">
        <v>1400</v>
      </c>
      <c r="Y112" s="811"/>
      <c r="Z112" s="811"/>
      <c r="AA112" s="810"/>
      <c r="AB112" s="810"/>
    </row>
    <row r="113" spans="1:28" ht="27.45">
      <c r="A113" s="2060"/>
      <c r="B113" s="2060"/>
      <c r="C113" s="2060"/>
      <c r="D113" s="810"/>
      <c r="E113" s="2182"/>
      <c r="F113" s="2123"/>
      <c r="G113" s="2123"/>
      <c r="H113" s="802"/>
      <c r="I113" s="802"/>
      <c r="J113" s="802"/>
      <c r="K113" s="802"/>
      <c r="L113" s="2123" t="s">
        <v>2456</v>
      </c>
      <c r="M113" s="2213">
        <f>10*5*2*50</f>
        <v>5000</v>
      </c>
      <c r="N113" s="803"/>
      <c r="O113" s="811"/>
      <c r="P113" s="811">
        <f>10*2*50</f>
        <v>1000</v>
      </c>
      <c r="Q113" s="811"/>
      <c r="R113" s="811">
        <f>10*2*50</f>
        <v>1000</v>
      </c>
      <c r="S113" s="811"/>
      <c r="T113" s="811">
        <f>10*2*50</f>
        <v>1000</v>
      </c>
      <c r="U113" s="811"/>
      <c r="V113" s="811">
        <f>10*2*50</f>
        <v>1000</v>
      </c>
      <c r="W113" s="811"/>
      <c r="X113" s="811">
        <f>10*2*50</f>
        <v>1000</v>
      </c>
      <c r="Y113" s="811"/>
      <c r="Z113" s="811"/>
      <c r="AA113" s="810"/>
      <c r="AB113" s="810"/>
    </row>
    <row r="114" spans="1:28" ht="27.45">
      <c r="A114" s="2060"/>
      <c r="B114" s="2060"/>
      <c r="C114" s="2060"/>
      <c r="D114" s="810"/>
      <c r="E114" s="2182" t="s">
        <v>2457</v>
      </c>
      <c r="F114" s="2123"/>
      <c r="G114" s="2123" t="s">
        <v>2458</v>
      </c>
      <c r="H114" s="2214"/>
      <c r="I114" s="802"/>
      <c r="J114" s="810"/>
      <c r="K114" s="802"/>
      <c r="L114" s="2123" t="s">
        <v>2459</v>
      </c>
      <c r="M114" s="2213">
        <f>50*70*2</f>
        <v>7000</v>
      </c>
      <c r="N114" s="801"/>
      <c r="O114" s="811"/>
      <c r="P114" s="811"/>
      <c r="Q114" s="811"/>
      <c r="R114" s="811">
        <f>50*70</f>
        <v>3500</v>
      </c>
      <c r="S114" s="811"/>
      <c r="T114" s="811"/>
      <c r="U114" s="811"/>
      <c r="V114" s="811">
        <f>50*70</f>
        <v>3500</v>
      </c>
      <c r="W114" s="811"/>
      <c r="X114" s="811"/>
      <c r="Y114" s="811"/>
      <c r="Z114" s="811"/>
      <c r="AA114" s="810"/>
      <c r="AB114" s="810"/>
    </row>
    <row r="115" spans="1:28" ht="27.45">
      <c r="A115" s="2060"/>
      <c r="B115" s="2060"/>
      <c r="C115" s="2060"/>
      <c r="D115" s="810"/>
      <c r="E115" s="2182"/>
      <c r="F115" s="2123"/>
      <c r="G115" s="2123"/>
      <c r="H115" s="802"/>
      <c r="I115" s="810"/>
      <c r="J115" s="802"/>
      <c r="K115" s="810"/>
      <c r="L115" s="2123" t="s">
        <v>2460</v>
      </c>
      <c r="M115" s="2213">
        <f>50*50*2</f>
        <v>5000</v>
      </c>
      <c r="N115" s="803"/>
      <c r="O115" s="811"/>
      <c r="P115" s="811"/>
      <c r="Q115" s="811"/>
      <c r="R115" s="811">
        <f>50*50</f>
        <v>2500</v>
      </c>
      <c r="S115" s="811"/>
      <c r="T115" s="811"/>
      <c r="U115" s="811"/>
      <c r="V115" s="811">
        <f>50*50</f>
        <v>2500</v>
      </c>
      <c r="W115" s="811"/>
      <c r="X115" s="811"/>
      <c r="Y115" s="811"/>
      <c r="Z115" s="811"/>
      <c r="AA115" s="810"/>
      <c r="AB115" s="810"/>
    </row>
    <row r="116" spans="1:28">
      <c r="A116" s="2060"/>
      <c r="B116" s="2060"/>
      <c r="C116" s="2060"/>
      <c r="D116" s="2152">
        <v>18</v>
      </c>
      <c r="E116" s="2132" t="s">
        <v>2461</v>
      </c>
      <c r="F116" s="2193"/>
      <c r="G116" s="2193"/>
      <c r="H116" s="810"/>
      <c r="I116" s="802"/>
      <c r="J116" s="810"/>
      <c r="K116" s="810"/>
      <c r="L116" s="2193"/>
      <c r="M116" s="2215"/>
      <c r="N116" s="2113">
        <f>SUM(M117:M120)</f>
        <v>20400</v>
      </c>
      <c r="O116" s="2177">
        <f>SUM(O117:O120)</f>
        <v>3600</v>
      </c>
      <c r="P116" s="2177">
        <f t="shared" ref="P116:Z116" si="24">SUM(P117:P120)</f>
        <v>0</v>
      </c>
      <c r="Q116" s="2177">
        <f t="shared" si="24"/>
        <v>3600</v>
      </c>
      <c r="R116" s="2177">
        <f t="shared" si="24"/>
        <v>6000</v>
      </c>
      <c r="S116" s="2177">
        <f t="shared" si="24"/>
        <v>3600</v>
      </c>
      <c r="T116" s="2177">
        <f t="shared" si="24"/>
        <v>0</v>
      </c>
      <c r="U116" s="2177">
        <f t="shared" si="24"/>
        <v>3600</v>
      </c>
      <c r="V116" s="2177">
        <f t="shared" si="24"/>
        <v>0</v>
      </c>
      <c r="W116" s="2177">
        <f t="shared" si="24"/>
        <v>0</v>
      </c>
      <c r="X116" s="2177">
        <f t="shared" si="24"/>
        <v>0</v>
      </c>
      <c r="Y116" s="2177">
        <f t="shared" si="24"/>
        <v>0</v>
      </c>
      <c r="Z116" s="2177">
        <f t="shared" si="24"/>
        <v>0</v>
      </c>
      <c r="AA116" s="2174" t="s">
        <v>2294</v>
      </c>
      <c r="AB116" s="2152" t="s">
        <v>280</v>
      </c>
    </row>
    <row r="117" spans="1:28" ht="137.15">
      <c r="A117" s="2060"/>
      <c r="B117" s="2060"/>
      <c r="C117" s="2060"/>
      <c r="D117" s="810"/>
      <c r="E117" s="2182" t="s">
        <v>2462</v>
      </c>
      <c r="F117" s="2123" t="s">
        <v>2463</v>
      </c>
      <c r="G117" s="2123" t="s">
        <v>2464</v>
      </c>
      <c r="H117" s="810"/>
      <c r="I117" s="802"/>
      <c r="J117" s="810"/>
      <c r="K117" s="2214"/>
      <c r="L117" s="2123" t="s">
        <v>2465</v>
      </c>
      <c r="M117" s="2213">
        <f>15*4*2*70</f>
        <v>8400</v>
      </c>
      <c r="N117" s="801"/>
      <c r="O117" s="811">
        <f>15*2*70</f>
        <v>2100</v>
      </c>
      <c r="P117" s="811"/>
      <c r="Q117" s="811">
        <f>15*2*70</f>
        <v>2100</v>
      </c>
      <c r="R117" s="811"/>
      <c r="S117" s="811">
        <f>15*2*70</f>
        <v>2100</v>
      </c>
      <c r="T117" s="811"/>
      <c r="U117" s="811">
        <f>15*2*70</f>
        <v>2100</v>
      </c>
      <c r="V117" s="811"/>
      <c r="W117" s="811"/>
      <c r="X117" s="811"/>
      <c r="Y117" s="811"/>
      <c r="Z117" s="811"/>
      <c r="AA117" s="810"/>
      <c r="AB117" s="810"/>
    </row>
    <row r="118" spans="1:28" ht="27.45">
      <c r="A118" s="2060"/>
      <c r="B118" s="2060"/>
      <c r="C118" s="2060"/>
      <c r="D118" s="810"/>
      <c r="E118" s="2182"/>
      <c r="F118" s="2123"/>
      <c r="G118" s="2123"/>
      <c r="H118" s="810"/>
      <c r="I118" s="810"/>
      <c r="J118" s="810"/>
      <c r="K118" s="802"/>
      <c r="L118" s="2123" t="s">
        <v>2466</v>
      </c>
      <c r="M118" s="2213">
        <f>15*4*2*50</f>
        <v>6000</v>
      </c>
      <c r="N118" s="811"/>
      <c r="O118" s="811">
        <f>15*2*50</f>
        <v>1500</v>
      </c>
      <c r="P118" s="811"/>
      <c r="Q118" s="811">
        <f>15*2*50</f>
        <v>1500</v>
      </c>
      <c r="R118" s="811"/>
      <c r="S118" s="811">
        <f>15*2*50</f>
        <v>1500</v>
      </c>
      <c r="T118" s="811"/>
      <c r="U118" s="811">
        <f>15*2*50</f>
        <v>1500</v>
      </c>
      <c r="V118" s="811"/>
      <c r="W118" s="811"/>
      <c r="X118" s="811"/>
      <c r="Y118" s="811"/>
      <c r="Z118" s="811"/>
      <c r="AA118" s="810"/>
      <c r="AB118" s="810"/>
    </row>
    <row r="119" spans="1:28" ht="66.45" customHeight="1">
      <c r="A119" s="2060"/>
      <c r="B119" s="2060"/>
      <c r="C119" s="2060"/>
      <c r="D119" s="808"/>
      <c r="E119" s="2182" t="s">
        <v>2467</v>
      </c>
      <c r="F119" s="2123"/>
      <c r="G119" s="2123" t="s">
        <v>2468</v>
      </c>
      <c r="H119" s="2123"/>
      <c r="I119" s="2123"/>
      <c r="J119" s="2123"/>
      <c r="K119" s="2123"/>
      <c r="L119" s="2123" t="s">
        <v>2469</v>
      </c>
      <c r="M119" s="2213">
        <f>50*70</f>
        <v>3500</v>
      </c>
      <c r="N119" s="801"/>
      <c r="O119" s="803"/>
      <c r="P119" s="803"/>
      <c r="Q119" s="803"/>
      <c r="R119" s="803">
        <f>50*70</f>
        <v>3500</v>
      </c>
      <c r="S119" s="803"/>
      <c r="T119" s="803"/>
      <c r="U119" s="803"/>
      <c r="V119" s="803"/>
      <c r="W119" s="803"/>
      <c r="X119" s="803"/>
      <c r="Y119" s="803"/>
      <c r="Z119" s="803"/>
      <c r="AA119" s="2123"/>
      <c r="AB119" s="810"/>
    </row>
    <row r="120" spans="1:28" ht="27.45">
      <c r="A120" s="2060"/>
      <c r="B120" s="2060"/>
      <c r="C120" s="2060"/>
      <c r="D120" s="810"/>
      <c r="E120" s="2182"/>
      <c r="F120" s="2123"/>
      <c r="G120" s="2123"/>
      <c r="H120" s="2123"/>
      <c r="I120" s="2123"/>
      <c r="J120" s="2123"/>
      <c r="K120" s="2123"/>
      <c r="L120" s="2123" t="s">
        <v>2470</v>
      </c>
      <c r="M120" s="2213">
        <f>50*50</f>
        <v>2500</v>
      </c>
      <c r="N120" s="803"/>
      <c r="O120" s="803"/>
      <c r="P120" s="803"/>
      <c r="Q120" s="803"/>
      <c r="R120" s="803">
        <f>50*50</f>
        <v>2500</v>
      </c>
      <c r="S120" s="803"/>
      <c r="T120" s="803"/>
      <c r="U120" s="803"/>
      <c r="V120" s="803"/>
      <c r="W120" s="803"/>
      <c r="X120" s="803"/>
      <c r="Y120" s="803"/>
      <c r="Z120" s="803"/>
      <c r="AA120" s="2123"/>
      <c r="AB120" s="810"/>
    </row>
    <row r="121" spans="1:28" ht="22.75" customHeight="1">
      <c r="A121" s="2060"/>
      <c r="B121" s="2060"/>
      <c r="C121" s="2060"/>
      <c r="D121" s="2076">
        <v>19</v>
      </c>
      <c r="E121" s="2076" t="s">
        <v>2471</v>
      </c>
      <c r="F121" s="2076"/>
      <c r="G121" s="2076"/>
      <c r="H121" s="2152"/>
      <c r="I121" s="2152"/>
      <c r="J121" s="2152"/>
      <c r="K121" s="2152"/>
      <c r="L121" s="2216"/>
      <c r="M121" s="2217"/>
      <c r="N121" s="2152">
        <v>500000</v>
      </c>
      <c r="O121" s="2152">
        <f>SUM(O122)</f>
        <v>0</v>
      </c>
      <c r="P121" s="2152">
        <f t="shared" ref="P121:Z121" si="25">SUM(P122)</f>
        <v>0</v>
      </c>
      <c r="Q121" s="2152">
        <f t="shared" si="25"/>
        <v>0</v>
      </c>
      <c r="R121" s="2152">
        <f t="shared" si="25"/>
        <v>250000</v>
      </c>
      <c r="S121" s="2152">
        <f t="shared" si="25"/>
        <v>0</v>
      </c>
      <c r="T121" s="2152">
        <f t="shared" si="25"/>
        <v>0</v>
      </c>
      <c r="U121" s="2152">
        <f t="shared" si="25"/>
        <v>250000</v>
      </c>
      <c r="V121" s="2152">
        <f t="shared" si="25"/>
        <v>0</v>
      </c>
      <c r="W121" s="2152">
        <f t="shared" si="25"/>
        <v>0</v>
      </c>
      <c r="X121" s="2152">
        <f t="shared" si="25"/>
        <v>0</v>
      </c>
      <c r="Y121" s="2152">
        <f t="shared" si="25"/>
        <v>0</v>
      </c>
      <c r="Z121" s="2152">
        <f t="shared" si="25"/>
        <v>0</v>
      </c>
      <c r="AA121" s="2218" t="s">
        <v>2472</v>
      </c>
      <c r="AB121" s="2106" t="s">
        <v>2473</v>
      </c>
    </row>
    <row r="122" spans="1:28" ht="105.45" customHeight="1">
      <c r="A122" s="2060"/>
      <c r="B122" s="2060"/>
      <c r="C122" s="2060"/>
      <c r="D122" s="2106"/>
      <c r="E122" s="2182" t="s">
        <v>2471</v>
      </c>
      <c r="F122" s="2182" t="s">
        <v>2474</v>
      </c>
      <c r="G122" s="806" t="s">
        <v>2472</v>
      </c>
      <c r="H122" s="2106"/>
      <c r="I122" s="2106" t="s">
        <v>239</v>
      </c>
      <c r="J122" s="2106"/>
      <c r="K122" s="2106"/>
      <c r="L122" s="2182" t="s">
        <v>2475</v>
      </c>
      <c r="M122" s="2219">
        <v>500000</v>
      </c>
      <c r="N122" s="2106"/>
      <c r="O122" s="2106"/>
      <c r="P122" s="2106"/>
      <c r="Q122" s="2106"/>
      <c r="R122" s="2219">
        <v>250000</v>
      </c>
      <c r="S122" s="2060"/>
      <c r="T122" s="2060"/>
      <c r="U122" s="2060">
        <v>250000</v>
      </c>
      <c r="V122" s="2060"/>
      <c r="W122" s="2060"/>
      <c r="X122" s="2060"/>
      <c r="Y122" s="2060"/>
      <c r="Z122" s="2060"/>
      <c r="AA122" s="2060"/>
      <c r="AB122" s="2060"/>
    </row>
    <row r="123" spans="1:28" s="2093" customFormat="1" ht="39.9" customHeight="1">
      <c r="A123" s="2106"/>
      <c r="B123" s="2106"/>
      <c r="C123" s="2106"/>
      <c r="D123" s="2152">
        <v>20</v>
      </c>
      <c r="E123" s="2152" t="s">
        <v>2476</v>
      </c>
      <c r="F123" s="2193"/>
      <c r="G123" s="2134"/>
      <c r="H123" s="2152"/>
      <c r="I123" s="2152"/>
      <c r="J123" s="2152"/>
      <c r="K123" s="2152"/>
      <c r="L123" s="2152"/>
      <c r="M123" s="2177"/>
      <c r="N123" s="2194">
        <f>SUM(M124)</f>
        <v>70000</v>
      </c>
      <c r="O123" s="2152"/>
      <c r="P123" s="2152"/>
      <c r="Q123" s="2152"/>
      <c r="R123" s="2076"/>
      <c r="S123" s="2152">
        <v>70000</v>
      </c>
      <c r="T123" s="2076"/>
      <c r="U123" s="2076"/>
      <c r="V123" s="2076"/>
      <c r="W123" s="2076"/>
      <c r="X123" s="2076"/>
      <c r="Y123" s="2076"/>
      <c r="Z123" s="2076"/>
      <c r="AA123" s="2182" t="s">
        <v>2477</v>
      </c>
      <c r="AB123" s="2106" t="s">
        <v>2478</v>
      </c>
    </row>
    <row r="124" spans="1:28" ht="82.3">
      <c r="A124" s="2060"/>
      <c r="B124" s="2060"/>
      <c r="C124" s="2060"/>
      <c r="D124" s="2106"/>
      <c r="E124" s="2182" t="s">
        <v>2479</v>
      </c>
      <c r="F124" s="2182" t="s">
        <v>2480</v>
      </c>
      <c r="G124" s="2182" t="s">
        <v>2481</v>
      </c>
      <c r="H124" s="2106"/>
      <c r="I124" s="2106" t="s">
        <v>239</v>
      </c>
      <c r="J124" s="2106"/>
      <c r="K124" s="2106"/>
      <c r="L124" s="2182" t="s">
        <v>2482</v>
      </c>
      <c r="M124" s="2219">
        <v>70000</v>
      </c>
      <c r="N124" s="2106"/>
      <c r="O124" s="2106"/>
      <c r="P124" s="2106"/>
      <c r="Q124" s="2106"/>
      <c r="R124" s="2060"/>
      <c r="S124" s="2106">
        <v>70000</v>
      </c>
      <c r="T124" s="2060"/>
      <c r="U124" s="2060"/>
      <c r="V124" s="2060"/>
      <c r="W124" s="2060"/>
      <c r="X124" s="2060"/>
      <c r="Y124" s="2060"/>
      <c r="Z124" s="2060"/>
      <c r="AA124" s="2060"/>
      <c r="AB124" s="2060"/>
    </row>
    <row r="125" spans="1:28">
      <c r="A125" s="2060">
        <v>1</v>
      </c>
      <c r="B125" s="2060"/>
      <c r="C125" s="2060"/>
      <c r="D125" s="2152">
        <v>21</v>
      </c>
      <c r="E125" s="2132" t="s">
        <v>2483</v>
      </c>
      <c r="F125" s="2193"/>
      <c r="G125" s="2193"/>
      <c r="H125" s="810"/>
      <c r="I125" s="802"/>
      <c r="J125" s="810"/>
      <c r="K125" s="810"/>
      <c r="L125" s="2193"/>
      <c r="M125" s="2215"/>
      <c r="N125" s="2113">
        <f>SUM(M126:M129)</f>
        <v>328510</v>
      </c>
      <c r="O125" s="2177">
        <f>SUM(O126:O129)</f>
        <v>0</v>
      </c>
      <c r="P125" s="2177">
        <f t="shared" ref="P125:Z125" si="26">SUM(P126:P129)</f>
        <v>328510</v>
      </c>
      <c r="Q125" s="2177">
        <f t="shared" si="26"/>
        <v>0</v>
      </c>
      <c r="R125" s="2177">
        <f t="shared" si="26"/>
        <v>0</v>
      </c>
      <c r="S125" s="2177">
        <f t="shared" si="26"/>
        <v>0</v>
      </c>
      <c r="T125" s="2177">
        <f t="shared" si="26"/>
        <v>0</v>
      </c>
      <c r="U125" s="2177">
        <f t="shared" si="26"/>
        <v>0</v>
      </c>
      <c r="V125" s="2177">
        <f t="shared" si="26"/>
        <v>0</v>
      </c>
      <c r="W125" s="2177">
        <f t="shared" si="26"/>
        <v>0</v>
      </c>
      <c r="X125" s="2177">
        <f t="shared" si="26"/>
        <v>0</v>
      </c>
      <c r="Y125" s="2177">
        <f t="shared" si="26"/>
        <v>0</v>
      </c>
      <c r="Z125" s="2177">
        <f t="shared" si="26"/>
        <v>0</v>
      </c>
      <c r="AA125" s="2174" t="s">
        <v>2294</v>
      </c>
      <c r="AB125" s="2152" t="s">
        <v>2998</v>
      </c>
    </row>
    <row r="126" spans="1:28" ht="41.15">
      <c r="A126" s="2060"/>
      <c r="B126" s="2060"/>
      <c r="C126" s="2060"/>
      <c r="D126" s="810"/>
      <c r="E126" s="2182" t="s">
        <v>2484</v>
      </c>
      <c r="F126" s="2123" t="s">
        <v>2485</v>
      </c>
      <c r="G126" s="2123"/>
      <c r="H126" s="810"/>
      <c r="I126" s="802"/>
      <c r="J126" s="810"/>
      <c r="K126" s="2214"/>
      <c r="L126" s="2123" t="s">
        <v>2486</v>
      </c>
      <c r="M126" s="2213">
        <v>9600</v>
      </c>
      <c r="N126" s="801"/>
      <c r="O126" s="811"/>
      <c r="P126" s="811">
        <v>9600</v>
      </c>
      <c r="Q126" s="811"/>
      <c r="R126" s="811"/>
      <c r="S126" s="811"/>
      <c r="T126" s="811"/>
      <c r="U126" s="811"/>
      <c r="V126" s="811"/>
      <c r="W126" s="811"/>
      <c r="X126" s="811"/>
      <c r="Y126" s="811"/>
      <c r="Z126" s="811"/>
      <c r="AA126" s="810"/>
      <c r="AB126" s="810"/>
    </row>
    <row r="127" spans="1:28" ht="29.15" customHeight="1">
      <c r="A127" s="2060"/>
      <c r="B127" s="2060"/>
      <c r="C127" s="2060"/>
      <c r="D127" s="810"/>
      <c r="E127" s="2182" t="s">
        <v>2487</v>
      </c>
      <c r="F127" s="2123"/>
      <c r="G127" s="2123"/>
      <c r="H127" s="810"/>
      <c r="I127" s="810"/>
      <c r="J127" s="810"/>
      <c r="K127" s="802"/>
      <c r="L127" s="2123" t="s">
        <v>2488</v>
      </c>
      <c r="M127" s="2213">
        <v>316110</v>
      </c>
      <c r="N127" s="811"/>
      <c r="O127" s="811"/>
      <c r="P127" s="811">
        <v>316110</v>
      </c>
      <c r="Q127" s="811"/>
      <c r="R127" s="811"/>
      <c r="S127" s="811"/>
      <c r="T127" s="811"/>
      <c r="U127" s="811"/>
      <c r="V127" s="811"/>
      <c r="W127" s="811"/>
      <c r="X127" s="811"/>
      <c r="Y127" s="811"/>
      <c r="Z127" s="811"/>
      <c r="AA127" s="810"/>
      <c r="AB127" s="810"/>
    </row>
    <row r="128" spans="1:28" ht="27.45">
      <c r="A128" s="2060"/>
      <c r="B128" s="2060"/>
      <c r="C128" s="2060"/>
      <c r="D128" s="808"/>
      <c r="E128" s="2182" t="s">
        <v>2489</v>
      </c>
      <c r="F128" s="2123"/>
      <c r="G128" s="2123"/>
      <c r="H128" s="2123"/>
      <c r="I128" s="2123"/>
      <c r="J128" s="2123"/>
      <c r="K128" s="2123"/>
      <c r="L128" s="2123" t="s">
        <v>2490</v>
      </c>
      <c r="M128" s="2213">
        <v>2800</v>
      </c>
      <c r="N128" s="801"/>
      <c r="O128" s="803"/>
      <c r="P128" s="803">
        <v>2800</v>
      </c>
      <c r="Q128" s="803"/>
      <c r="R128" s="803"/>
      <c r="S128" s="803"/>
      <c r="T128" s="803"/>
      <c r="U128" s="803"/>
      <c r="V128" s="803"/>
      <c r="W128" s="803"/>
      <c r="X128" s="803"/>
      <c r="Y128" s="803"/>
      <c r="Z128" s="803"/>
      <c r="AA128" s="2123"/>
      <c r="AB128" s="810"/>
    </row>
    <row r="129" spans="1:28">
      <c r="A129" s="2060"/>
      <c r="B129" s="2060"/>
      <c r="C129" s="2060"/>
      <c r="D129" s="810"/>
      <c r="E129" s="2182"/>
      <c r="F129" s="2123"/>
      <c r="G129" s="2123"/>
      <c r="H129" s="2123"/>
      <c r="I129" s="2123"/>
      <c r="J129" s="2123"/>
      <c r="K129" s="2123"/>
      <c r="L129" s="2123"/>
      <c r="M129" s="2213"/>
      <c r="N129" s="803"/>
      <c r="O129" s="803"/>
      <c r="P129" s="803"/>
      <c r="Q129" s="803"/>
      <c r="R129" s="803"/>
      <c r="S129" s="803"/>
      <c r="T129" s="803"/>
      <c r="U129" s="803"/>
      <c r="V129" s="803"/>
      <c r="W129" s="803"/>
      <c r="X129" s="803"/>
      <c r="Y129" s="803"/>
      <c r="Z129" s="803"/>
      <c r="AA129" s="2123"/>
      <c r="AB129" s="810"/>
    </row>
    <row r="130" spans="1:28">
      <c r="A130" s="2060"/>
      <c r="B130" s="2060"/>
      <c r="C130" s="2060"/>
      <c r="D130" s="2152">
        <v>22</v>
      </c>
      <c r="E130" s="2132" t="s">
        <v>2491</v>
      </c>
      <c r="F130" s="2193"/>
      <c r="G130" s="2193"/>
      <c r="H130" s="810"/>
      <c r="I130" s="802"/>
      <c r="J130" s="810"/>
      <c r="K130" s="810"/>
      <c r="L130" s="2193"/>
      <c r="M130" s="2215"/>
      <c r="N130" s="2113">
        <f>SUM(M131:M132)</f>
        <v>70000</v>
      </c>
      <c r="O130" s="2177">
        <f t="shared" ref="O130:Z130" si="27">SUM(O131:O132)</f>
        <v>0</v>
      </c>
      <c r="P130" s="2177">
        <f t="shared" si="27"/>
        <v>70000</v>
      </c>
      <c r="Q130" s="2177">
        <f t="shared" si="27"/>
        <v>0</v>
      </c>
      <c r="R130" s="2177">
        <f t="shared" si="27"/>
        <v>0</v>
      </c>
      <c r="S130" s="2177">
        <f t="shared" si="27"/>
        <v>0</v>
      </c>
      <c r="T130" s="2177">
        <f t="shared" si="27"/>
        <v>0</v>
      </c>
      <c r="U130" s="2177">
        <f t="shared" si="27"/>
        <v>0</v>
      </c>
      <c r="V130" s="2177">
        <f t="shared" si="27"/>
        <v>0</v>
      </c>
      <c r="W130" s="2177">
        <f t="shared" si="27"/>
        <v>0</v>
      </c>
      <c r="X130" s="2177">
        <f t="shared" si="27"/>
        <v>0</v>
      </c>
      <c r="Y130" s="2177">
        <f t="shared" si="27"/>
        <v>0</v>
      </c>
      <c r="Z130" s="2177">
        <f t="shared" si="27"/>
        <v>0</v>
      </c>
      <c r="AA130" s="2174" t="s">
        <v>2294</v>
      </c>
      <c r="AB130" s="2152" t="s">
        <v>2443</v>
      </c>
    </row>
    <row r="131" spans="1:28" ht="68.599999999999994">
      <c r="A131" s="2060"/>
      <c r="B131" s="2060"/>
      <c r="C131" s="2060"/>
      <c r="D131" s="810"/>
      <c r="E131" s="2182" t="s">
        <v>2492</v>
      </c>
      <c r="F131" s="2123" t="s">
        <v>2493</v>
      </c>
      <c r="G131" s="2123" t="s">
        <v>2494</v>
      </c>
      <c r="H131" s="810"/>
      <c r="I131" s="802"/>
      <c r="J131" s="810"/>
      <c r="K131" s="2214"/>
      <c r="L131" s="2123" t="s">
        <v>2495</v>
      </c>
      <c r="M131" s="2213">
        <f>100*2*300</f>
        <v>60000</v>
      </c>
      <c r="N131" s="801"/>
      <c r="O131" s="811"/>
      <c r="P131" s="811">
        <v>60000</v>
      </c>
      <c r="Q131" s="811"/>
      <c r="R131" s="811"/>
      <c r="S131" s="811"/>
      <c r="T131" s="811"/>
      <c r="U131" s="811"/>
      <c r="V131" s="811"/>
      <c r="W131" s="811"/>
      <c r="X131" s="811"/>
      <c r="Y131" s="811"/>
      <c r="Z131" s="811"/>
      <c r="AA131" s="810"/>
      <c r="AB131" s="810"/>
    </row>
    <row r="132" spans="1:28" ht="43.3" customHeight="1">
      <c r="A132" s="2060"/>
      <c r="B132" s="2060"/>
      <c r="C132" s="2060"/>
      <c r="D132" s="810"/>
      <c r="E132" s="2182"/>
      <c r="F132" s="2123"/>
      <c r="G132" s="2123"/>
      <c r="H132" s="810"/>
      <c r="I132" s="810"/>
      <c r="J132" s="810"/>
      <c r="K132" s="802"/>
      <c r="L132" s="2123" t="s">
        <v>2496</v>
      </c>
      <c r="M132" s="2213">
        <f>100*4*25</f>
        <v>10000</v>
      </c>
      <c r="N132" s="811"/>
      <c r="O132" s="811"/>
      <c r="P132" s="811">
        <v>10000</v>
      </c>
      <c r="Q132" s="811"/>
      <c r="R132" s="811"/>
      <c r="S132" s="811"/>
      <c r="T132" s="811"/>
      <c r="U132" s="811"/>
      <c r="V132" s="811"/>
      <c r="W132" s="811"/>
      <c r="X132" s="811"/>
      <c r="Y132" s="811"/>
      <c r="Z132" s="811"/>
      <c r="AA132" s="810"/>
      <c r="AB132" s="810"/>
    </row>
    <row r="133" spans="1:28" s="71" customFormat="1" ht="48">
      <c r="A133" s="3239">
        <v>4</v>
      </c>
      <c r="B133" s="3239">
        <v>12</v>
      </c>
      <c r="C133" s="3239">
        <v>3</v>
      </c>
      <c r="D133" s="2220">
        <v>23</v>
      </c>
      <c r="E133" s="2221" t="s">
        <v>2497</v>
      </c>
      <c r="F133" s="1123"/>
      <c r="G133" s="1123"/>
      <c r="H133" s="1104"/>
      <c r="I133" s="1104"/>
      <c r="J133" s="1104"/>
      <c r="K133" s="1104"/>
      <c r="L133" s="1104"/>
      <c r="M133" s="1105"/>
      <c r="N133" s="2222">
        <f>SUM(M134:M161)</f>
        <v>463600</v>
      </c>
      <c r="O133" s="1105">
        <f>SUM(O134:O161)</f>
        <v>0</v>
      </c>
      <c r="P133" s="1105">
        <f t="shared" ref="P133:Z133" si="28">SUM(P134:P161)</f>
        <v>0</v>
      </c>
      <c r="Q133" s="1105">
        <f t="shared" si="28"/>
        <v>0</v>
      </c>
      <c r="R133" s="1105">
        <f t="shared" si="28"/>
        <v>65000</v>
      </c>
      <c r="S133" s="1105">
        <f t="shared" si="28"/>
        <v>4500</v>
      </c>
      <c r="T133" s="1105">
        <f t="shared" si="28"/>
        <v>281500</v>
      </c>
      <c r="U133" s="1105">
        <f t="shared" si="28"/>
        <v>0</v>
      </c>
      <c r="V133" s="1105">
        <f t="shared" si="28"/>
        <v>88600</v>
      </c>
      <c r="W133" s="1105">
        <f t="shared" si="28"/>
        <v>0</v>
      </c>
      <c r="X133" s="1105">
        <f t="shared" si="28"/>
        <v>24000</v>
      </c>
      <c r="Y133" s="1105">
        <f t="shared" si="28"/>
        <v>0</v>
      </c>
      <c r="Z133" s="1105">
        <f t="shared" si="28"/>
        <v>0</v>
      </c>
      <c r="AA133" s="2223" t="s">
        <v>2498</v>
      </c>
      <c r="AB133" s="2224" t="s">
        <v>2499</v>
      </c>
    </row>
    <row r="134" spans="1:28" s="71" customFormat="1" ht="64.75" customHeight="1">
      <c r="A134" s="3241"/>
      <c r="B134" s="3241"/>
      <c r="C134" s="3241"/>
      <c r="D134" s="3282"/>
      <c r="E134" s="3290" t="s">
        <v>2500</v>
      </c>
      <c r="F134" s="3313" t="s">
        <v>2501</v>
      </c>
      <c r="G134" s="3313" t="s">
        <v>2502</v>
      </c>
      <c r="H134" s="3265"/>
      <c r="I134" s="3265" t="s">
        <v>239</v>
      </c>
      <c r="J134" s="3265"/>
      <c r="K134" s="3265" t="s">
        <v>239</v>
      </c>
      <c r="L134" s="2225" t="s">
        <v>2503</v>
      </c>
      <c r="M134" s="1013">
        <v>42000</v>
      </c>
      <c r="N134" s="2226"/>
      <c r="O134" s="973"/>
      <c r="P134" s="2227"/>
      <c r="Q134" s="2227"/>
      <c r="R134" s="1013">
        <v>42000</v>
      </c>
      <c r="S134" s="2227"/>
      <c r="T134" s="2227"/>
      <c r="U134" s="2227"/>
      <c r="V134" s="2227"/>
      <c r="W134" s="2227"/>
      <c r="X134" s="2227"/>
      <c r="Y134" s="2227"/>
      <c r="Z134" s="2227"/>
      <c r="AA134" s="2223" t="s">
        <v>2504</v>
      </c>
      <c r="AB134" s="2224"/>
    </row>
    <row r="135" spans="1:28" s="71" customFormat="1" ht="25.5" customHeight="1">
      <c r="A135" s="3241"/>
      <c r="B135" s="3241"/>
      <c r="C135" s="3241"/>
      <c r="D135" s="3305"/>
      <c r="E135" s="3298"/>
      <c r="F135" s="3314"/>
      <c r="G135" s="3314"/>
      <c r="H135" s="3271"/>
      <c r="I135" s="3271"/>
      <c r="J135" s="3271"/>
      <c r="K135" s="3271"/>
      <c r="L135" s="2229" t="s">
        <v>2505</v>
      </c>
      <c r="M135" s="1013">
        <v>15000</v>
      </c>
      <c r="N135" s="2226"/>
      <c r="O135" s="973"/>
      <c r="P135" s="2227"/>
      <c r="Q135" s="2227"/>
      <c r="R135" s="1013">
        <v>15000</v>
      </c>
      <c r="S135" s="2227"/>
      <c r="T135" s="2227"/>
      <c r="U135" s="2227"/>
      <c r="V135" s="2227"/>
      <c r="W135" s="2227"/>
      <c r="X135" s="2227"/>
      <c r="Y135" s="2227"/>
      <c r="Z135" s="2227"/>
      <c r="AA135" s="2223"/>
      <c r="AB135" s="2224"/>
    </row>
    <row r="136" spans="1:28" s="71" customFormat="1" ht="33" customHeight="1">
      <c r="A136" s="3241"/>
      <c r="B136" s="3241"/>
      <c r="C136" s="3241"/>
      <c r="D136" s="3305"/>
      <c r="E136" s="3298"/>
      <c r="F136" s="3314"/>
      <c r="G136" s="3314"/>
      <c r="H136" s="3271"/>
      <c r="I136" s="3271"/>
      <c r="J136" s="3271"/>
      <c r="K136" s="3271"/>
      <c r="L136" s="2229" t="s">
        <v>2506</v>
      </c>
      <c r="M136" s="1013">
        <v>2000</v>
      </c>
      <c r="N136" s="2226"/>
      <c r="O136" s="973"/>
      <c r="P136" s="2227"/>
      <c r="Q136" s="2227"/>
      <c r="R136" s="1013">
        <v>2000</v>
      </c>
      <c r="S136" s="2227"/>
      <c r="T136" s="2227"/>
      <c r="U136" s="2227"/>
      <c r="V136" s="2227"/>
      <c r="W136" s="2227"/>
      <c r="X136" s="2227"/>
      <c r="Y136" s="2227"/>
      <c r="Z136" s="2227"/>
      <c r="AA136" s="2223"/>
      <c r="AB136" s="2224"/>
    </row>
    <row r="137" spans="1:28" s="71" customFormat="1" ht="33" customHeight="1">
      <c r="A137" s="3241"/>
      <c r="B137" s="3241"/>
      <c r="C137" s="3241"/>
      <c r="D137" s="3305"/>
      <c r="E137" s="3298"/>
      <c r="F137" s="3314"/>
      <c r="G137" s="3314"/>
      <c r="H137" s="3271"/>
      <c r="I137" s="3271"/>
      <c r="J137" s="3271"/>
      <c r="K137" s="3271"/>
      <c r="L137" s="2229" t="s">
        <v>2507</v>
      </c>
      <c r="M137" s="1013">
        <v>3000</v>
      </c>
      <c r="N137" s="2230"/>
      <c r="O137" s="973"/>
      <c r="P137" s="2227"/>
      <c r="Q137" s="2227"/>
      <c r="R137" s="1013">
        <v>3000</v>
      </c>
      <c r="S137" s="2227"/>
      <c r="T137" s="2227"/>
      <c r="U137" s="2227"/>
      <c r="V137" s="2227"/>
      <c r="W137" s="2227"/>
      <c r="X137" s="2227"/>
      <c r="Y137" s="2227"/>
      <c r="Z137" s="2227"/>
      <c r="AA137" s="2224"/>
      <c r="AB137" s="2224"/>
    </row>
    <row r="138" spans="1:28" s="71" customFormat="1" ht="33" customHeight="1">
      <c r="A138" s="3241"/>
      <c r="B138" s="3241"/>
      <c r="C138" s="3241"/>
      <c r="D138" s="3305"/>
      <c r="E138" s="3298"/>
      <c r="F138" s="3314"/>
      <c r="G138" s="3314"/>
      <c r="H138" s="3271"/>
      <c r="I138" s="3271"/>
      <c r="J138" s="3271"/>
      <c r="K138" s="3271"/>
      <c r="L138" s="2229" t="s">
        <v>2508</v>
      </c>
      <c r="M138" s="1013">
        <v>3000</v>
      </c>
      <c r="N138" s="2226"/>
      <c r="O138" s="2231"/>
      <c r="P138" s="2231"/>
      <c r="Q138" s="2231"/>
      <c r="R138" s="1013">
        <v>3000</v>
      </c>
      <c r="S138" s="2231"/>
      <c r="T138" s="2231"/>
      <c r="U138" s="2231"/>
      <c r="V138" s="2231"/>
      <c r="W138" s="2231"/>
      <c r="X138" s="2231"/>
      <c r="Y138" s="2231"/>
      <c r="Z138" s="2231"/>
      <c r="AA138" s="2224"/>
      <c r="AB138" s="2224"/>
    </row>
    <row r="139" spans="1:28" s="71" customFormat="1" ht="48" customHeight="1">
      <c r="A139" s="3241"/>
      <c r="B139" s="3241"/>
      <c r="C139" s="3241"/>
      <c r="D139" s="3305"/>
      <c r="E139" s="3298"/>
      <c r="F139" s="3314"/>
      <c r="G139" s="3314"/>
      <c r="H139" s="3271"/>
      <c r="I139" s="3271"/>
      <c r="J139" s="3271"/>
      <c r="K139" s="3271"/>
      <c r="L139" s="2229" t="s">
        <v>2509</v>
      </c>
      <c r="M139" s="1013">
        <v>10000</v>
      </c>
      <c r="N139" s="2230"/>
      <c r="O139" s="2231"/>
      <c r="P139" s="2231"/>
      <c r="Q139" s="2231"/>
      <c r="R139" s="2231"/>
      <c r="S139" s="2231"/>
      <c r="T139" s="2231"/>
      <c r="U139" s="2231"/>
      <c r="V139" s="2231"/>
      <c r="W139" s="2231"/>
      <c r="X139" s="1013">
        <v>10000</v>
      </c>
      <c r="Y139" s="2231"/>
      <c r="Z139" s="2231"/>
      <c r="AA139" s="2224"/>
      <c r="AB139" s="2224"/>
    </row>
    <row r="140" spans="1:28" s="71" customFormat="1" ht="45.9" customHeight="1">
      <c r="A140" s="3241"/>
      <c r="B140" s="3241"/>
      <c r="C140" s="3241"/>
      <c r="D140" s="3305"/>
      <c r="E140" s="3298"/>
      <c r="F140" s="3314"/>
      <c r="G140" s="3314"/>
      <c r="H140" s="3271"/>
      <c r="I140" s="3271"/>
      <c r="J140" s="3271"/>
      <c r="K140" s="3271"/>
      <c r="L140" s="2229" t="s">
        <v>2510</v>
      </c>
      <c r="M140" s="1013">
        <v>5000</v>
      </c>
      <c r="N140" s="2226"/>
      <c r="O140" s="2231"/>
      <c r="P140" s="2231"/>
      <c r="Q140" s="2231"/>
      <c r="R140" s="2231"/>
      <c r="S140" s="2231"/>
      <c r="T140" s="2231"/>
      <c r="U140" s="2231"/>
      <c r="V140" s="2231"/>
      <c r="W140" s="2231"/>
      <c r="X140" s="1013">
        <v>5000</v>
      </c>
      <c r="Y140" s="2231"/>
      <c r="Z140" s="2231"/>
      <c r="AA140" s="2224"/>
      <c r="AB140" s="2224"/>
    </row>
    <row r="141" spans="1:28" s="71" customFormat="1" ht="47.15" customHeight="1">
      <c r="A141" s="3241"/>
      <c r="B141" s="3241"/>
      <c r="C141" s="3241"/>
      <c r="D141" s="3305"/>
      <c r="E141" s="3298"/>
      <c r="F141" s="3314"/>
      <c r="G141" s="3314"/>
      <c r="H141" s="3271"/>
      <c r="I141" s="3271"/>
      <c r="J141" s="3271"/>
      <c r="K141" s="3271"/>
      <c r="L141" s="2229" t="s">
        <v>2511</v>
      </c>
      <c r="M141" s="1013">
        <v>2000</v>
      </c>
      <c r="N141" s="2230"/>
      <c r="O141" s="2231"/>
      <c r="P141" s="2231"/>
      <c r="Q141" s="2231"/>
      <c r="R141" s="2231"/>
      <c r="S141" s="2231"/>
      <c r="T141" s="2231"/>
      <c r="U141" s="2231"/>
      <c r="V141" s="2231"/>
      <c r="W141" s="2231"/>
      <c r="X141" s="1013">
        <v>2000</v>
      </c>
      <c r="Y141" s="2231"/>
      <c r="Z141" s="2231"/>
      <c r="AA141" s="2224"/>
      <c r="AB141" s="2224"/>
    </row>
    <row r="142" spans="1:28" s="71" customFormat="1" ht="46.75" customHeight="1">
      <c r="A142" s="3241"/>
      <c r="B142" s="3241"/>
      <c r="C142" s="3241"/>
      <c r="D142" s="3305"/>
      <c r="E142" s="3298"/>
      <c r="F142" s="3314"/>
      <c r="G142" s="3314"/>
      <c r="H142" s="3271"/>
      <c r="I142" s="3271"/>
      <c r="J142" s="3271"/>
      <c r="K142" s="3271"/>
      <c r="L142" s="2229" t="s">
        <v>2512</v>
      </c>
      <c r="M142" s="1013">
        <v>4000</v>
      </c>
      <c r="N142" s="2230"/>
      <c r="O142" s="2231"/>
      <c r="P142" s="2231"/>
      <c r="Q142" s="2231"/>
      <c r="R142" s="2231"/>
      <c r="S142" s="2231"/>
      <c r="T142" s="2231"/>
      <c r="U142" s="2231"/>
      <c r="V142" s="2231"/>
      <c r="W142" s="2231"/>
      <c r="X142" s="1013">
        <v>4000</v>
      </c>
      <c r="Y142" s="2231"/>
      <c r="Z142" s="2231"/>
      <c r="AA142" s="2224"/>
      <c r="AB142" s="2224"/>
    </row>
    <row r="143" spans="1:28" s="71" customFormat="1" ht="44.15" customHeight="1">
      <c r="A143" s="3240"/>
      <c r="B143" s="3240"/>
      <c r="C143" s="3240"/>
      <c r="D143" s="3283"/>
      <c r="E143" s="3291"/>
      <c r="F143" s="3315"/>
      <c r="G143" s="3315"/>
      <c r="H143" s="3266"/>
      <c r="I143" s="3266"/>
      <c r="J143" s="3266"/>
      <c r="K143" s="3266"/>
      <c r="L143" s="2229" t="s">
        <v>2507</v>
      </c>
      <c r="M143" s="1013">
        <v>3000</v>
      </c>
      <c r="N143" s="2226"/>
      <c r="O143" s="2231"/>
      <c r="P143" s="2231"/>
      <c r="Q143" s="2231"/>
      <c r="R143" s="2231"/>
      <c r="S143" s="2231"/>
      <c r="T143" s="2231"/>
      <c r="U143" s="2231"/>
      <c r="V143" s="2231"/>
      <c r="W143" s="2231"/>
      <c r="X143" s="1013">
        <v>3000</v>
      </c>
      <c r="Y143" s="2231"/>
      <c r="Z143" s="2231"/>
      <c r="AA143" s="2224"/>
      <c r="AB143" s="2224"/>
    </row>
    <row r="144" spans="1:28" s="71" customFormat="1" ht="66.900000000000006" customHeight="1">
      <c r="A144" s="3259"/>
      <c r="B144" s="3259"/>
      <c r="C144" s="3259"/>
      <c r="D144" s="3282"/>
      <c r="E144" s="3319" t="s">
        <v>2513</v>
      </c>
      <c r="F144" s="3310" t="s">
        <v>2514</v>
      </c>
      <c r="G144" s="3310" t="s">
        <v>2515</v>
      </c>
      <c r="H144" s="3313"/>
      <c r="I144" s="3265"/>
      <c r="J144" s="3282" t="s">
        <v>239</v>
      </c>
      <c r="K144" s="3265"/>
      <c r="L144" s="2233" t="s">
        <v>2516</v>
      </c>
      <c r="M144" s="2234">
        <v>12000</v>
      </c>
      <c r="N144" s="2230"/>
      <c r="O144" s="2231"/>
      <c r="P144" s="2231"/>
      <c r="Q144" s="2231"/>
      <c r="R144" s="2231"/>
      <c r="S144" s="2231"/>
      <c r="T144" s="2231"/>
      <c r="U144" s="2231"/>
      <c r="V144" s="2234">
        <v>12000</v>
      </c>
      <c r="W144" s="2231"/>
      <c r="X144" s="2231"/>
      <c r="Y144" s="2231"/>
      <c r="Z144" s="2231"/>
      <c r="AA144" s="2223" t="s">
        <v>2504</v>
      </c>
      <c r="AB144" s="2224"/>
    </row>
    <row r="145" spans="1:28" s="71" customFormat="1" ht="67.3" customHeight="1">
      <c r="A145" s="3306"/>
      <c r="B145" s="3306"/>
      <c r="C145" s="3306"/>
      <c r="D145" s="3305"/>
      <c r="E145" s="3320"/>
      <c r="F145" s="3311"/>
      <c r="G145" s="3311"/>
      <c r="H145" s="3314"/>
      <c r="I145" s="3271"/>
      <c r="J145" s="3305"/>
      <c r="K145" s="3271"/>
      <c r="L145" s="2229" t="s">
        <v>2517</v>
      </c>
      <c r="M145" s="2234">
        <v>6000</v>
      </c>
      <c r="N145" s="2230"/>
      <c r="O145" s="2231"/>
      <c r="P145" s="2231"/>
      <c r="Q145" s="2231"/>
      <c r="R145" s="2231"/>
      <c r="S145" s="2231"/>
      <c r="T145" s="2231"/>
      <c r="U145" s="2231"/>
      <c r="V145" s="2234">
        <v>6000</v>
      </c>
      <c r="W145" s="2231"/>
      <c r="X145" s="2231"/>
      <c r="Y145" s="2231"/>
      <c r="Z145" s="2231"/>
      <c r="AA145" s="2224"/>
      <c r="AB145" s="2224"/>
    </row>
    <row r="146" spans="1:28" s="71" customFormat="1" ht="48">
      <c r="A146" s="3306"/>
      <c r="B146" s="3306"/>
      <c r="C146" s="3306"/>
      <c r="D146" s="3305"/>
      <c r="E146" s="3320"/>
      <c r="F146" s="3311"/>
      <c r="G146" s="3311"/>
      <c r="H146" s="3314"/>
      <c r="I146" s="3271"/>
      <c r="J146" s="3305"/>
      <c r="K146" s="3271"/>
      <c r="L146" s="2235" t="s">
        <v>2518</v>
      </c>
      <c r="M146" s="2234">
        <v>21600</v>
      </c>
      <c r="N146" s="2230"/>
      <c r="O146" s="2231"/>
      <c r="P146" s="2231"/>
      <c r="Q146" s="2231"/>
      <c r="R146" s="2231"/>
      <c r="S146" s="2231"/>
      <c r="T146" s="2231"/>
      <c r="U146" s="2231"/>
      <c r="V146" s="2234">
        <v>21600</v>
      </c>
      <c r="W146" s="2231"/>
      <c r="X146" s="2231"/>
      <c r="Y146" s="2231"/>
      <c r="Z146" s="2231"/>
      <c r="AA146" s="2224"/>
      <c r="AB146" s="2224"/>
    </row>
    <row r="147" spans="1:28" s="71" customFormat="1" ht="24">
      <c r="A147" s="3306"/>
      <c r="B147" s="3306"/>
      <c r="C147" s="3306"/>
      <c r="D147" s="3305"/>
      <c r="E147" s="3320"/>
      <c r="F147" s="3311"/>
      <c r="G147" s="3311"/>
      <c r="H147" s="3314"/>
      <c r="I147" s="3271"/>
      <c r="J147" s="3305"/>
      <c r="K147" s="3271"/>
      <c r="L147" s="2235" t="s">
        <v>2519</v>
      </c>
      <c r="M147" s="2234">
        <v>1800</v>
      </c>
      <c r="N147" s="2230"/>
      <c r="O147" s="2231"/>
      <c r="P147" s="2231"/>
      <c r="Q147" s="2231"/>
      <c r="R147" s="2231"/>
      <c r="S147" s="2231"/>
      <c r="T147" s="2231"/>
      <c r="U147" s="2231"/>
      <c r="V147" s="2234">
        <v>1800</v>
      </c>
      <c r="W147" s="2231"/>
      <c r="X147" s="2231"/>
      <c r="Y147" s="2231"/>
      <c r="Z147" s="2231"/>
      <c r="AA147" s="2224"/>
      <c r="AB147" s="2224"/>
    </row>
    <row r="148" spans="1:28" s="71" customFormat="1" ht="48">
      <c r="A148" s="3306"/>
      <c r="B148" s="3306"/>
      <c r="C148" s="3306"/>
      <c r="D148" s="3305"/>
      <c r="E148" s="3320"/>
      <c r="F148" s="3311"/>
      <c r="G148" s="3311"/>
      <c r="H148" s="3314"/>
      <c r="I148" s="3271"/>
      <c r="J148" s="3305"/>
      <c r="K148" s="3271"/>
      <c r="L148" s="2235" t="s">
        <v>2520</v>
      </c>
      <c r="M148" s="2234">
        <v>12000</v>
      </c>
      <c r="N148" s="2236"/>
      <c r="O148" s="2231"/>
      <c r="P148" s="2231"/>
      <c r="Q148" s="2231"/>
      <c r="R148" s="2231"/>
      <c r="S148" s="2231"/>
      <c r="T148" s="2231"/>
      <c r="U148" s="2231"/>
      <c r="V148" s="2234">
        <v>12000</v>
      </c>
      <c r="W148" s="2231"/>
      <c r="X148" s="2231"/>
      <c r="Y148" s="2231"/>
      <c r="Z148" s="2231"/>
      <c r="AA148" s="2224"/>
      <c r="AB148" s="2224"/>
    </row>
    <row r="149" spans="1:28" s="71" customFormat="1" ht="48">
      <c r="A149" s="3306"/>
      <c r="B149" s="3306"/>
      <c r="C149" s="3306"/>
      <c r="D149" s="3305"/>
      <c r="E149" s="3320"/>
      <c r="F149" s="3311"/>
      <c r="G149" s="3311"/>
      <c r="H149" s="3314"/>
      <c r="I149" s="3271"/>
      <c r="J149" s="3305"/>
      <c r="K149" s="3271"/>
      <c r="L149" s="2235" t="s">
        <v>2521</v>
      </c>
      <c r="M149" s="2234">
        <v>4200</v>
      </c>
      <c r="N149" s="2230"/>
      <c r="O149" s="2230"/>
      <c r="P149" s="2237"/>
      <c r="Q149" s="2237"/>
      <c r="R149" s="2237"/>
      <c r="S149" s="2237"/>
      <c r="T149" s="2237"/>
      <c r="U149" s="2237"/>
      <c r="V149" s="2234">
        <v>4200</v>
      </c>
      <c r="W149" s="2237"/>
      <c r="X149" s="2237"/>
      <c r="Y149" s="2237"/>
      <c r="Z149" s="2237"/>
      <c r="AA149" s="2238"/>
      <c r="AB149" s="2224"/>
    </row>
    <row r="150" spans="1:28" s="71" customFormat="1" ht="48">
      <c r="A150" s="3306"/>
      <c r="B150" s="3306"/>
      <c r="C150" s="3306"/>
      <c r="D150" s="3305"/>
      <c r="E150" s="3320"/>
      <c r="F150" s="3311"/>
      <c r="G150" s="3311"/>
      <c r="H150" s="3314"/>
      <c r="I150" s="3271"/>
      <c r="J150" s="3305"/>
      <c r="K150" s="3271"/>
      <c r="L150" s="2235" t="s">
        <v>2522</v>
      </c>
      <c r="M150" s="2234">
        <v>10000</v>
      </c>
      <c r="N150" s="2230"/>
      <c r="O150" s="2237"/>
      <c r="P150" s="2237"/>
      <c r="Q150" s="2237"/>
      <c r="R150" s="2237"/>
      <c r="S150" s="2237"/>
      <c r="T150" s="2237"/>
      <c r="U150" s="2237"/>
      <c r="V150" s="2234">
        <v>10000</v>
      </c>
      <c r="W150" s="2237"/>
      <c r="X150" s="2237"/>
      <c r="Y150" s="2237"/>
      <c r="Z150" s="2237"/>
      <c r="AA150" s="2238"/>
      <c r="AB150" s="2224"/>
    </row>
    <row r="151" spans="1:28" s="71" customFormat="1" ht="48">
      <c r="A151" s="3306"/>
      <c r="B151" s="3306"/>
      <c r="C151" s="3306"/>
      <c r="D151" s="3305"/>
      <c r="E151" s="3320"/>
      <c r="F151" s="3311"/>
      <c r="G151" s="3311"/>
      <c r="H151" s="3314"/>
      <c r="I151" s="3271"/>
      <c r="J151" s="3305"/>
      <c r="K151" s="3271"/>
      <c r="L151" s="2235" t="s">
        <v>2523</v>
      </c>
      <c r="M151" s="2234">
        <v>6000</v>
      </c>
      <c r="N151" s="2230"/>
      <c r="O151" s="2230"/>
      <c r="P151" s="2237"/>
      <c r="Q151" s="2237"/>
      <c r="R151" s="2237"/>
      <c r="S151" s="2237"/>
      <c r="T151" s="2237"/>
      <c r="U151" s="2237"/>
      <c r="V151" s="2234">
        <v>6000</v>
      </c>
      <c r="W151" s="2237"/>
      <c r="X151" s="2237"/>
      <c r="Y151" s="2237"/>
      <c r="Z151" s="2237"/>
      <c r="AA151" s="2238"/>
      <c r="AB151" s="2224"/>
    </row>
    <row r="152" spans="1:28" s="71" customFormat="1" ht="24">
      <c r="A152" s="3306"/>
      <c r="B152" s="3306"/>
      <c r="C152" s="3306"/>
      <c r="D152" s="3305"/>
      <c r="E152" s="3320"/>
      <c r="F152" s="3311"/>
      <c r="G152" s="3311"/>
      <c r="H152" s="3314"/>
      <c r="I152" s="3271"/>
      <c r="J152" s="3305"/>
      <c r="K152" s="3271"/>
      <c r="L152" s="2235" t="s">
        <v>2524</v>
      </c>
      <c r="M152" s="2234">
        <v>5000</v>
      </c>
      <c r="N152" s="2226"/>
      <c r="O152" s="2227"/>
      <c r="P152" s="2227"/>
      <c r="Q152" s="2227"/>
      <c r="R152" s="2227"/>
      <c r="S152" s="2227"/>
      <c r="T152" s="2227"/>
      <c r="U152" s="2227"/>
      <c r="V152" s="2234">
        <v>5000</v>
      </c>
      <c r="W152" s="2227"/>
      <c r="X152" s="2227"/>
      <c r="Y152" s="2227"/>
      <c r="Z152" s="2227"/>
      <c r="AA152" s="2223"/>
      <c r="AB152" s="2224"/>
    </row>
    <row r="153" spans="1:28" s="71" customFormat="1" ht="40.299999999999997">
      <c r="A153" s="3260"/>
      <c r="B153" s="3260"/>
      <c r="C153" s="3260"/>
      <c r="D153" s="3283"/>
      <c r="E153" s="3321"/>
      <c r="F153" s="3312"/>
      <c r="G153" s="3312"/>
      <c r="H153" s="3315"/>
      <c r="I153" s="3266"/>
      <c r="J153" s="3283"/>
      <c r="K153" s="3266"/>
      <c r="L153" s="2239" t="s">
        <v>2525</v>
      </c>
      <c r="M153" s="2240">
        <v>10000</v>
      </c>
      <c r="N153" s="2230"/>
      <c r="O153" s="2230"/>
      <c r="P153" s="2230"/>
      <c r="Q153" s="2230"/>
      <c r="R153" s="2230"/>
      <c r="S153" s="2230"/>
      <c r="T153" s="2230"/>
      <c r="U153" s="2230"/>
      <c r="V153" s="2240">
        <v>10000</v>
      </c>
      <c r="W153" s="2230"/>
      <c r="X153" s="2230"/>
      <c r="Y153" s="2230"/>
      <c r="Z153" s="2230"/>
      <c r="AA153" s="2224"/>
      <c r="AB153" s="2224"/>
    </row>
    <row r="154" spans="1:28" s="71" customFormat="1" ht="36.75" customHeight="1">
      <c r="A154" s="3259"/>
      <c r="B154" s="3259"/>
      <c r="C154" s="3259"/>
      <c r="D154" s="3282"/>
      <c r="E154" s="3307" t="s">
        <v>2526</v>
      </c>
      <c r="F154" s="3307" t="s">
        <v>2527</v>
      </c>
      <c r="G154" s="3316" t="s">
        <v>2528</v>
      </c>
      <c r="H154" s="3282"/>
      <c r="I154" s="3282" t="s">
        <v>239</v>
      </c>
      <c r="J154" s="3282"/>
      <c r="K154" s="3265"/>
      <c r="L154" s="1044" t="s">
        <v>2529</v>
      </c>
      <c r="M154" s="2241">
        <v>75000</v>
      </c>
      <c r="N154" s="2236"/>
      <c r="O154" s="2231"/>
      <c r="P154" s="2231"/>
      <c r="Q154" s="2231"/>
      <c r="R154" s="2231"/>
      <c r="S154" s="2231"/>
      <c r="T154" s="2241">
        <v>75000</v>
      </c>
      <c r="U154" s="2231"/>
      <c r="V154" s="2231"/>
      <c r="W154" s="2231"/>
      <c r="X154" s="2231"/>
      <c r="Y154" s="2231"/>
      <c r="Z154" s="2231"/>
      <c r="AA154" s="2223" t="s">
        <v>2504</v>
      </c>
      <c r="AB154" s="2224"/>
    </row>
    <row r="155" spans="1:28" s="71" customFormat="1" ht="33" customHeight="1">
      <c r="A155" s="3306"/>
      <c r="B155" s="3306"/>
      <c r="C155" s="3306"/>
      <c r="D155" s="3305"/>
      <c r="E155" s="3308"/>
      <c r="F155" s="3308"/>
      <c r="G155" s="3317"/>
      <c r="H155" s="3305"/>
      <c r="I155" s="3305"/>
      <c r="J155" s="3305"/>
      <c r="K155" s="3271"/>
      <c r="L155" s="75" t="s">
        <v>2530</v>
      </c>
      <c r="M155" s="2241">
        <v>117000</v>
      </c>
      <c r="N155" s="2226"/>
      <c r="O155" s="2230"/>
      <c r="P155" s="2237"/>
      <c r="Q155" s="2237"/>
      <c r="R155" s="2237"/>
      <c r="S155" s="2237"/>
      <c r="T155" s="2241">
        <v>117000</v>
      </c>
      <c r="U155" s="2237"/>
      <c r="V155" s="2237"/>
      <c r="W155" s="2237"/>
      <c r="X155" s="2237"/>
      <c r="Y155" s="2237"/>
      <c r="Z155" s="2237"/>
      <c r="AA155" s="2238"/>
      <c r="AB155" s="2224"/>
    </row>
    <row r="156" spans="1:28" s="71" customFormat="1" ht="25.5" customHeight="1">
      <c r="A156" s="3306"/>
      <c r="B156" s="3306"/>
      <c r="C156" s="3306"/>
      <c r="D156" s="3305"/>
      <c r="E156" s="3308"/>
      <c r="F156" s="3308"/>
      <c r="G156" s="3317"/>
      <c r="H156" s="3305"/>
      <c r="I156" s="3305"/>
      <c r="J156" s="3305"/>
      <c r="K156" s="3271"/>
      <c r="L156" s="75" t="s">
        <v>2531</v>
      </c>
      <c r="M156" s="2241">
        <v>7500</v>
      </c>
      <c r="N156" s="2230"/>
      <c r="O156" s="2237"/>
      <c r="P156" s="2237"/>
      <c r="Q156" s="2237"/>
      <c r="R156" s="2237"/>
      <c r="S156" s="2237"/>
      <c r="T156" s="2241">
        <v>7500</v>
      </c>
      <c r="U156" s="2237"/>
      <c r="V156" s="2237"/>
      <c r="W156" s="2237"/>
      <c r="X156" s="2237"/>
      <c r="Y156" s="2237"/>
      <c r="Z156" s="2237"/>
      <c r="AA156" s="2238"/>
      <c r="AB156" s="2224"/>
    </row>
    <row r="157" spans="1:28" s="71" customFormat="1" ht="25.5" customHeight="1">
      <c r="A157" s="3306"/>
      <c r="B157" s="3306"/>
      <c r="C157" s="3306"/>
      <c r="D157" s="3305"/>
      <c r="E157" s="3308"/>
      <c r="F157" s="3308"/>
      <c r="G157" s="3317"/>
      <c r="H157" s="3305"/>
      <c r="I157" s="3305"/>
      <c r="J157" s="3305"/>
      <c r="K157" s="3271"/>
      <c r="L157" s="75" t="s">
        <v>2532</v>
      </c>
      <c r="M157" s="2231">
        <v>42000</v>
      </c>
      <c r="N157" s="2230"/>
      <c r="O157" s="2230"/>
      <c r="P157" s="2237"/>
      <c r="Q157" s="2237"/>
      <c r="R157" s="2237"/>
      <c r="S157" s="2237"/>
      <c r="T157" s="2231">
        <v>42000</v>
      </c>
      <c r="U157" s="2237"/>
      <c r="V157" s="2237"/>
      <c r="W157" s="2237"/>
      <c r="X157" s="2237"/>
      <c r="Y157" s="2237"/>
      <c r="Z157" s="2237"/>
      <c r="AA157" s="2238"/>
      <c r="AB157" s="2224"/>
    </row>
    <row r="158" spans="1:28" s="71" customFormat="1" ht="25.5" customHeight="1">
      <c r="A158" s="3306"/>
      <c r="B158" s="3306"/>
      <c r="C158" s="3306"/>
      <c r="D158" s="3305"/>
      <c r="E158" s="3308"/>
      <c r="F158" s="3308"/>
      <c r="G158" s="3317"/>
      <c r="H158" s="3305"/>
      <c r="I158" s="3305"/>
      <c r="J158" s="3305"/>
      <c r="K158" s="3271"/>
      <c r="L158" s="75" t="s">
        <v>2533</v>
      </c>
      <c r="M158" s="2227">
        <v>30000</v>
      </c>
      <c r="N158" s="2226"/>
      <c r="O158" s="2227"/>
      <c r="P158" s="2227"/>
      <c r="Q158" s="2227"/>
      <c r="R158" s="2227"/>
      <c r="S158" s="2227"/>
      <c r="T158" s="2227">
        <v>30000</v>
      </c>
      <c r="U158" s="2227"/>
      <c r="V158" s="2227"/>
      <c r="W158" s="2227"/>
      <c r="X158" s="2227"/>
      <c r="Y158" s="2227"/>
      <c r="Z158" s="2227"/>
      <c r="AA158" s="2223"/>
      <c r="AB158" s="2224"/>
    </row>
    <row r="159" spans="1:28" s="71" customFormat="1" ht="49.75" customHeight="1">
      <c r="A159" s="3260"/>
      <c r="B159" s="3260"/>
      <c r="C159" s="3260"/>
      <c r="D159" s="3283"/>
      <c r="E159" s="3309"/>
      <c r="F159" s="3309"/>
      <c r="G159" s="3318"/>
      <c r="H159" s="3283"/>
      <c r="I159" s="3283"/>
      <c r="J159" s="3283"/>
      <c r="K159" s="3266"/>
      <c r="L159" s="75" t="s">
        <v>2534</v>
      </c>
      <c r="M159" s="2231">
        <v>10000</v>
      </c>
      <c r="N159" s="2230"/>
      <c r="O159" s="2230"/>
      <c r="P159" s="2230"/>
      <c r="Q159" s="2230"/>
      <c r="R159" s="2230"/>
      <c r="S159" s="2230"/>
      <c r="T159" s="2231">
        <v>10000</v>
      </c>
      <c r="U159" s="2230"/>
      <c r="V159" s="2230"/>
      <c r="W159" s="2230"/>
      <c r="X159" s="2230"/>
      <c r="Y159" s="2230"/>
      <c r="Z159" s="2230"/>
      <c r="AA159" s="2224"/>
      <c r="AB159" s="2224"/>
    </row>
    <row r="160" spans="1:28" s="71" customFormat="1" ht="147.75" customHeight="1">
      <c r="A160" s="72"/>
      <c r="B160" s="72"/>
      <c r="C160" s="72"/>
      <c r="D160" s="2224"/>
      <c r="E160" s="2242" t="s">
        <v>2535</v>
      </c>
      <c r="F160" s="2242" t="s">
        <v>2536</v>
      </c>
      <c r="G160" s="2243" t="s">
        <v>2537</v>
      </c>
      <c r="H160" s="2244"/>
      <c r="I160" s="2224" t="s">
        <v>239</v>
      </c>
      <c r="J160" s="2224"/>
      <c r="K160" s="2224"/>
      <c r="L160" s="2229" t="s">
        <v>2538</v>
      </c>
      <c r="M160" s="2237">
        <v>1500</v>
      </c>
      <c r="N160" s="2230"/>
      <c r="O160" s="2231"/>
      <c r="P160" s="2231"/>
      <c r="Q160" s="2231"/>
      <c r="R160" s="2231"/>
      <c r="S160" s="2237">
        <v>1500</v>
      </c>
      <c r="T160" s="2231"/>
      <c r="U160" s="2231"/>
      <c r="V160" s="2231"/>
      <c r="W160" s="2231"/>
      <c r="X160" s="2231"/>
      <c r="Y160" s="2231"/>
      <c r="Z160" s="2231"/>
      <c r="AA160" s="2223" t="s">
        <v>2504</v>
      </c>
      <c r="AB160" s="2224"/>
    </row>
    <row r="161" spans="1:28" s="71" customFormat="1" ht="65.599999999999994" customHeight="1">
      <c r="A161" s="72"/>
      <c r="B161" s="72"/>
      <c r="C161" s="72"/>
      <c r="D161" s="2224"/>
      <c r="E161" s="2245"/>
      <c r="F161" s="2245"/>
      <c r="G161" s="2246"/>
      <c r="H161" s="2244"/>
      <c r="I161" s="2244"/>
      <c r="J161" s="2244"/>
      <c r="K161" s="2244"/>
      <c r="L161" s="2229" t="s">
        <v>2539</v>
      </c>
      <c r="M161" s="2237">
        <v>3000</v>
      </c>
      <c r="N161" s="2230"/>
      <c r="O161" s="2231"/>
      <c r="P161" s="2231"/>
      <c r="Q161" s="2231"/>
      <c r="R161" s="2231"/>
      <c r="S161" s="2237">
        <v>3000</v>
      </c>
      <c r="T161" s="2231"/>
      <c r="U161" s="2231"/>
      <c r="V161" s="2231"/>
      <c r="W161" s="2231"/>
      <c r="X161" s="2231"/>
      <c r="Y161" s="2231"/>
      <c r="Z161" s="2231"/>
      <c r="AA161" s="2224"/>
      <c r="AB161" s="2224"/>
    </row>
  </sheetData>
  <autoFilter ref="A11:AE19" xr:uid="{947892CB-0292-46AD-8FE6-F181AC2B4D2B}"/>
  <mergeCells count="49">
    <mergeCell ref="D1:AB1"/>
    <mergeCell ref="D8:D10"/>
    <mergeCell ref="E8:E10"/>
    <mergeCell ref="F8:F10"/>
    <mergeCell ref="G8:G10"/>
    <mergeCell ref="H8:K9"/>
    <mergeCell ref="L8:M9"/>
    <mergeCell ref="N8:N10"/>
    <mergeCell ref="O8:Z8"/>
    <mergeCell ref="AA8:AA10"/>
    <mergeCell ref="F134:F143"/>
    <mergeCell ref="AB8:AB10"/>
    <mergeCell ref="AC8:AE8"/>
    <mergeCell ref="O9:Q9"/>
    <mergeCell ref="R9:T9"/>
    <mergeCell ref="U9:W9"/>
    <mergeCell ref="X9:Z9"/>
    <mergeCell ref="A133:A143"/>
    <mergeCell ref="B133:B143"/>
    <mergeCell ref="C133:C143"/>
    <mergeCell ref="D134:D143"/>
    <mergeCell ref="E134:E143"/>
    <mergeCell ref="A144:A153"/>
    <mergeCell ref="B144:B153"/>
    <mergeCell ref="C144:C153"/>
    <mergeCell ref="D144:D153"/>
    <mergeCell ref="E144:E153"/>
    <mergeCell ref="J144:J153"/>
    <mergeCell ref="K144:K153"/>
    <mergeCell ref="G134:G143"/>
    <mergeCell ref="H134:H143"/>
    <mergeCell ref="I134:I143"/>
    <mergeCell ref="J134:J143"/>
    <mergeCell ref="K134:K143"/>
    <mergeCell ref="F144:F153"/>
    <mergeCell ref="G144:G153"/>
    <mergeCell ref="H144:H153"/>
    <mergeCell ref="I144:I153"/>
    <mergeCell ref="G154:G159"/>
    <mergeCell ref="H154:H159"/>
    <mergeCell ref="I154:I159"/>
    <mergeCell ref="J154:J159"/>
    <mergeCell ref="K154:K159"/>
    <mergeCell ref="A154:A159"/>
    <mergeCell ref="B154:B159"/>
    <mergeCell ref="C154:C159"/>
    <mergeCell ref="D154:D159"/>
    <mergeCell ref="E154:E159"/>
    <mergeCell ref="F154:F159"/>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E8666-07F6-44DC-9F3A-E3F8C5C6E24E}">
  <sheetPr>
    <tabColor rgb="FF92D050"/>
  </sheetPr>
  <dimension ref="A1:AE55"/>
  <sheetViews>
    <sheetView topLeftCell="A22" workbookViewId="0">
      <selection activeCell="A22" sqref="A22:XFD22"/>
    </sheetView>
  </sheetViews>
  <sheetFormatPr defaultColWidth="6.5703125" defaultRowHeight="18"/>
  <cols>
    <col min="1" max="1" width="3.85546875" style="2734" customWidth="1"/>
    <col min="2" max="2" width="5.140625" style="2734" customWidth="1"/>
    <col min="3" max="3" width="4.42578125" style="2734" customWidth="1"/>
    <col min="4" max="4" width="4.5" style="2734" customWidth="1"/>
    <col min="5" max="5" width="22.7109375" style="2734" customWidth="1"/>
    <col min="6" max="6" width="17.35546875" style="2734" customWidth="1"/>
    <col min="7" max="7" width="17.78515625" style="2734" customWidth="1"/>
    <col min="8" max="8" width="4.140625" style="2734" customWidth="1"/>
    <col min="9" max="9" width="3.92578125" style="2734" customWidth="1"/>
    <col min="10" max="10" width="3.5703125" style="2734" customWidth="1"/>
    <col min="11" max="11" width="3.7109375" style="2734" customWidth="1"/>
    <col min="12" max="12" width="23" style="2734" customWidth="1"/>
    <col min="13" max="13" width="6.5703125" style="2734"/>
    <col min="14" max="14" width="6.5703125" style="2847"/>
    <col min="15" max="26" width="6.5703125" style="2734"/>
    <col min="27" max="27" width="9.85546875" style="2734" customWidth="1"/>
    <col min="28" max="16384" width="6.5703125" style="2734"/>
  </cols>
  <sheetData>
    <row r="1" spans="1:31" s="2730" customFormat="1" ht="27">
      <c r="D1" s="3347" t="s">
        <v>437</v>
      </c>
      <c r="E1" s="3347"/>
      <c r="F1" s="3347"/>
      <c r="G1" s="3347"/>
      <c r="H1" s="3347"/>
      <c r="I1" s="3347"/>
      <c r="J1" s="3347"/>
      <c r="K1" s="3347"/>
      <c r="L1" s="3347"/>
      <c r="M1" s="3347"/>
      <c r="N1" s="3347"/>
      <c r="O1" s="3347"/>
      <c r="P1" s="3347"/>
      <c r="Q1" s="3347"/>
      <c r="R1" s="3347"/>
      <c r="S1" s="3347"/>
      <c r="T1" s="3347"/>
      <c r="U1" s="3347"/>
      <c r="V1" s="3347"/>
      <c r="W1" s="3347"/>
      <c r="X1" s="3347"/>
      <c r="Y1" s="3347"/>
      <c r="Z1" s="3347"/>
      <c r="AA1" s="3347"/>
      <c r="AB1" s="3347"/>
    </row>
    <row r="2" spans="1:31" s="2730" customFormat="1" ht="20.25" customHeight="1">
      <c r="D2" s="2731" t="s">
        <v>0</v>
      </c>
      <c r="E2" s="2732" t="s">
        <v>1</v>
      </c>
      <c r="G2" s="2733" t="s">
        <v>238</v>
      </c>
      <c r="I2" s="2734"/>
      <c r="J2" s="2735"/>
    </row>
    <row r="3" spans="1:31" s="2730" customFormat="1" ht="19.5" customHeight="1">
      <c r="D3" s="2736" t="s">
        <v>2</v>
      </c>
      <c r="E3" s="2736"/>
      <c r="F3" s="2736"/>
      <c r="G3" s="2736"/>
      <c r="H3" s="2736"/>
      <c r="I3" s="2736"/>
      <c r="J3" s="2736"/>
      <c r="K3" s="2736"/>
      <c r="L3" s="2736"/>
      <c r="M3" s="2736"/>
      <c r="N3" s="2736"/>
      <c r="O3" s="2736"/>
      <c r="P3" s="2736"/>
      <c r="Q3" s="2736"/>
      <c r="R3" s="2736"/>
      <c r="S3" s="2736"/>
      <c r="T3" s="2736"/>
      <c r="U3" s="2736"/>
      <c r="V3" s="2736"/>
    </row>
    <row r="4" spans="1:31" s="2730" customFormat="1" ht="19.5" customHeight="1">
      <c r="D4" s="2736" t="s">
        <v>187</v>
      </c>
      <c r="E4" s="2736"/>
      <c r="F4" s="2736"/>
      <c r="G4" s="2736"/>
      <c r="H4" s="2736"/>
      <c r="I4" s="2736"/>
      <c r="J4" s="2736"/>
      <c r="K4" s="2736"/>
      <c r="R4" s="2736"/>
      <c r="S4" s="2736"/>
      <c r="T4" s="2736"/>
      <c r="U4" s="2736"/>
      <c r="V4" s="2736"/>
    </row>
    <row r="5" spans="1:31" s="2730" customFormat="1" ht="19.5" customHeight="1">
      <c r="D5" s="2731" t="s">
        <v>188</v>
      </c>
      <c r="E5" s="2736"/>
      <c r="F5" s="2736"/>
      <c r="G5" s="2736"/>
      <c r="H5" s="2736"/>
      <c r="I5" s="2736"/>
      <c r="J5" s="2736"/>
      <c r="K5" s="2736" t="s">
        <v>3</v>
      </c>
      <c r="M5" s="2737" t="s">
        <v>37</v>
      </c>
      <c r="N5" s="2738" t="s">
        <v>11</v>
      </c>
      <c r="O5" s="2739" t="s">
        <v>22</v>
      </c>
      <c r="P5" s="2739" t="s">
        <v>23</v>
      </c>
      <c r="Q5" s="2739" t="s">
        <v>24</v>
      </c>
      <c r="R5" s="2739" t="s">
        <v>25</v>
      </c>
      <c r="S5" s="2739" t="s">
        <v>26</v>
      </c>
      <c r="T5" s="2739" t="s">
        <v>27</v>
      </c>
      <c r="U5" s="2739" t="s">
        <v>28</v>
      </c>
      <c r="V5" s="2739" t="s">
        <v>29</v>
      </c>
      <c r="W5" s="2739" t="s">
        <v>30</v>
      </c>
      <c r="X5" s="2739" t="s">
        <v>31</v>
      </c>
      <c r="Y5" s="2739" t="s">
        <v>32</v>
      </c>
      <c r="Z5" s="2739" t="s">
        <v>33</v>
      </c>
      <c r="AA5" s="2740" t="s">
        <v>2287</v>
      </c>
      <c r="AB5" s="2740" t="s">
        <v>2288</v>
      </c>
      <c r="AC5" s="2740" t="s">
        <v>2289</v>
      </c>
      <c r="AD5" s="2740" t="s">
        <v>2290</v>
      </c>
      <c r="AE5" s="2740" t="s">
        <v>2291</v>
      </c>
    </row>
    <row r="6" spans="1:31" s="2730" customFormat="1" ht="19.5" customHeight="1">
      <c r="D6" s="2736" t="s">
        <v>4</v>
      </c>
      <c r="E6" s="2736"/>
      <c r="F6" s="2736"/>
      <c r="G6" s="2736" t="s">
        <v>5</v>
      </c>
      <c r="H6" s="2736"/>
      <c r="I6" s="2736"/>
      <c r="J6" s="2736"/>
      <c r="K6" s="2736"/>
      <c r="M6" s="2874">
        <v>3</v>
      </c>
      <c r="N6" s="2741">
        <f>SUM(N8:N26)</f>
        <v>52200</v>
      </c>
      <c r="O6" s="2741">
        <f>O12+O17+O22</f>
        <v>0</v>
      </c>
      <c r="P6" s="2741">
        <f t="shared" ref="P6:Z6" si="0">P12+P17+P22</f>
        <v>17400</v>
      </c>
      <c r="Q6" s="2741">
        <f t="shared" si="0"/>
        <v>0</v>
      </c>
      <c r="R6" s="2741">
        <f t="shared" si="0"/>
        <v>0</v>
      </c>
      <c r="S6" s="2741">
        <f t="shared" si="0"/>
        <v>0</v>
      </c>
      <c r="T6" s="2741">
        <f t="shared" si="0"/>
        <v>17400</v>
      </c>
      <c r="U6" s="2741">
        <f t="shared" si="0"/>
        <v>0</v>
      </c>
      <c r="V6" s="2741">
        <f t="shared" si="0"/>
        <v>17400</v>
      </c>
      <c r="W6" s="2741">
        <f t="shared" si="0"/>
        <v>0</v>
      </c>
      <c r="X6" s="2741">
        <f t="shared" si="0"/>
        <v>0</v>
      </c>
      <c r="Y6" s="2741">
        <f t="shared" si="0"/>
        <v>0</v>
      </c>
      <c r="Z6" s="2741">
        <f t="shared" si="0"/>
        <v>0</v>
      </c>
      <c r="AA6" s="2742">
        <f>N12+N17+N22</f>
        <v>52200</v>
      </c>
      <c r="AB6" s="2742"/>
      <c r="AC6" s="2743"/>
      <c r="AD6" s="2744"/>
      <c r="AE6" s="2742"/>
    </row>
    <row r="7" spans="1:31" s="2730" customFormat="1" ht="19.5" customHeight="1">
      <c r="D7" s="2745"/>
      <c r="E7" s="2736"/>
      <c r="F7" s="2736"/>
      <c r="G7" s="2736" t="s">
        <v>3</v>
      </c>
      <c r="H7" s="2736"/>
      <c r="I7" s="2736"/>
      <c r="J7" s="2736"/>
      <c r="K7" s="2736"/>
      <c r="M7" s="2746"/>
      <c r="N7" s="2747"/>
      <c r="O7" s="2748"/>
      <c r="P7" s="2748"/>
      <c r="Q7" s="2748">
        <f>O6+P6+Q6</f>
        <v>17400</v>
      </c>
      <c r="R7" s="2748"/>
      <c r="S7" s="2748"/>
      <c r="T7" s="2748">
        <f>R6+S6+T6</f>
        <v>17400</v>
      </c>
      <c r="U7" s="2748"/>
      <c r="V7" s="2748"/>
      <c r="W7" s="2748">
        <f>U6+V6+W6</f>
        <v>17400</v>
      </c>
      <c r="X7" s="2748"/>
      <c r="Y7" s="2748"/>
      <c r="Z7" s="2748">
        <f>X6+Y6+Z6</f>
        <v>0</v>
      </c>
    </row>
    <row r="8" spans="1:31" ht="15.75" customHeight="1" thickBot="1">
      <c r="A8" s="2749" t="s">
        <v>34</v>
      </c>
      <c r="B8" s="2750"/>
      <c r="C8" s="2750"/>
      <c r="D8" s="3348" t="s">
        <v>6</v>
      </c>
      <c r="E8" s="2751" t="s">
        <v>7</v>
      </c>
      <c r="F8" s="2751" t="s">
        <v>8</v>
      </c>
      <c r="G8" s="2751" t="s">
        <v>9</v>
      </c>
      <c r="H8" s="2752" t="s">
        <v>10</v>
      </c>
      <c r="I8" s="2753"/>
      <c r="J8" s="2753"/>
      <c r="K8" s="2754"/>
      <c r="L8" s="2755" t="s">
        <v>11</v>
      </c>
      <c r="M8" s="2756"/>
      <c r="N8" s="2757" t="s">
        <v>12</v>
      </c>
      <c r="O8" s="2758" t="s">
        <v>13</v>
      </c>
      <c r="P8" s="2758"/>
      <c r="Q8" s="2758"/>
      <c r="R8" s="2758"/>
      <c r="S8" s="2758"/>
      <c r="T8" s="2758"/>
      <c r="U8" s="2758"/>
      <c r="V8" s="2758"/>
      <c r="W8" s="2758"/>
      <c r="X8" s="2758"/>
      <c r="Y8" s="2758"/>
      <c r="Z8" s="2758"/>
      <c r="AA8" s="2759" t="s">
        <v>14</v>
      </c>
      <c r="AB8" s="2760" t="s">
        <v>15</v>
      </c>
    </row>
    <row r="9" spans="1:31" ht="15.75" customHeight="1" thickTop="1" thickBot="1">
      <c r="A9" s="2761"/>
      <c r="B9" s="2762"/>
      <c r="C9" s="2762"/>
      <c r="D9" s="3349"/>
      <c r="E9" s="2763"/>
      <c r="F9" s="2763"/>
      <c r="G9" s="2763"/>
      <c r="H9" s="2764"/>
      <c r="I9" s="2765"/>
      <c r="J9" s="2765"/>
      <c r="K9" s="2766"/>
      <c r="L9" s="2767"/>
      <c r="M9" s="2768"/>
      <c r="N9" s="2769"/>
      <c r="O9" s="2770" t="s">
        <v>16</v>
      </c>
      <c r="P9" s="2771">
        <v>1</v>
      </c>
      <c r="Q9" s="2772"/>
      <c r="R9" s="2773" t="s">
        <v>17</v>
      </c>
      <c r="S9" s="2774">
        <v>2</v>
      </c>
      <c r="T9" s="2775"/>
      <c r="U9" s="2773" t="s">
        <v>18</v>
      </c>
      <c r="V9" s="2774">
        <v>3</v>
      </c>
      <c r="W9" s="2775"/>
      <c r="X9" s="2773" t="s">
        <v>19</v>
      </c>
      <c r="Y9" s="2774">
        <v>4</v>
      </c>
      <c r="Z9" s="2775"/>
      <c r="AA9" s="2776"/>
      <c r="AB9" s="2760"/>
    </row>
    <row r="10" spans="1:31">
      <c r="A10" s="2777" t="s">
        <v>36</v>
      </c>
      <c r="B10" s="2777" t="s">
        <v>35</v>
      </c>
      <c r="C10" s="2778" t="s">
        <v>37</v>
      </c>
      <c r="D10" s="3350"/>
      <c r="E10" s="2763"/>
      <c r="F10" s="2763"/>
      <c r="G10" s="2763"/>
      <c r="H10" s="2763">
        <v>1</v>
      </c>
      <c r="I10" s="2759">
        <v>2</v>
      </c>
      <c r="J10" s="2759">
        <v>3</v>
      </c>
      <c r="K10" s="2759">
        <v>4</v>
      </c>
      <c r="L10" s="2779" t="s">
        <v>20</v>
      </c>
      <c r="M10" s="2780" t="s">
        <v>21</v>
      </c>
      <c r="N10" s="2781"/>
      <c r="O10" s="2782" t="s">
        <v>22</v>
      </c>
      <c r="P10" s="2783" t="s">
        <v>23</v>
      </c>
      <c r="Q10" s="2784" t="s">
        <v>24</v>
      </c>
      <c r="R10" s="2782" t="s">
        <v>25</v>
      </c>
      <c r="S10" s="2783" t="s">
        <v>26</v>
      </c>
      <c r="T10" s="2784" t="s">
        <v>27</v>
      </c>
      <c r="U10" s="2782" t="s">
        <v>28</v>
      </c>
      <c r="V10" s="2783" t="s">
        <v>29</v>
      </c>
      <c r="W10" s="2784" t="s">
        <v>30</v>
      </c>
      <c r="X10" s="2782" t="s">
        <v>31</v>
      </c>
      <c r="Y10" s="2783" t="s">
        <v>32</v>
      </c>
      <c r="Z10" s="2784" t="s">
        <v>33</v>
      </c>
      <c r="AA10" s="2776"/>
      <c r="AB10" s="2760"/>
    </row>
    <row r="11" spans="1:31" ht="30" customHeight="1">
      <c r="A11" s="2785"/>
      <c r="B11" s="2785"/>
      <c r="C11" s="2785"/>
      <c r="D11" s="2786"/>
      <c r="E11" s="2787" t="s">
        <v>2968</v>
      </c>
      <c r="F11" s="2788"/>
      <c r="G11" s="2788"/>
      <c r="H11" s="2788"/>
      <c r="I11" s="2788"/>
      <c r="J11" s="2788"/>
      <c r="K11" s="2788"/>
      <c r="L11" s="2788"/>
      <c r="M11" s="2788"/>
      <c r="N11" s="2789"/>
      <c r="O11" s="2790"/>
      <c r="P11" s="2791"/>
      <c r="Q11" s="2792"/>
      <c r="R11" s="2790"/>
      <c r="S11" s="2791"/>
      <c r="T11" s="2792"/>
      <c r="U11" s="2790"/>
      <c r="V11" s="2791"/>
      <c r="W11" s="2792"/>
      <c r="X11" s="2790"/>
      <c r="Y11" s="2791"/>
      <c r="Z11" s="2792"/>
      <c r="AA11" s="2793"/>
      <c r="AB11" s="2794"/>
    </row>
    <row r="12" spans="1:31" ht="30" customHeight="1">
      <c r="A12" s="2785">
        <v>4</v>
      </c>
      <c r="B12" s="2785">
        <v>11</v>
      </c>
      <c r="C12" s="2785">
        <v>32</v>
      </c>
      <c r="D12" s="2853">
        <v>1</v>
      </c>
      <c r="E12" s="2854" t="s">
        <v>2982</v>
      </c>
      <c r="F12" s="2855"/>
      <c r="G12" s="2855"/>
      <c r="H12" s="2856"/>
      <c r="I12" s="2855"/>
      <c r="J12" s="2856"/>
      <c r="K12" s="2855"/>
      <c r="L12" s="2788"/>
      <c r="M12" s="2788"/>
      <c r="N12" s="2789">
        <f>SUM(M13:M17)</f>
        <v>17400</v>
      </c>
      <c r="O12" s="2790">
        <f>SUM(O13:O16)</f>
        <v>0</v>
      </c>
      <c r="P12" s="2790">
        <f t="shared" ref="P12:Z12" si="1">SUM(P13:P16)</f>
        <v>0</v>
      </c>
      <c r="Q12" s="2790">
        <f t="shared" si="1"/>
        <v>0</v>
      </c>
      <c r="R12" s="2790">
        <f t="shared" si="1"/>
        <v>0</v>
      </c>
      <c r="S12" s="2790">
        <f t="shared" si="1"/>
        <v>0</v>
      </c>
      <c r="T12" s="2790">
        <f t="shared" si="1"/>
        <v>17400</v>
      </c>
      <c r="U12" s="2790">
        <f t="shared" si="1"/>
        <v>0</v>
      </c>
      <c r="V12" s="2790">
        <f t="shared" si="1"/>
        <v>0</v>
      </c>
      <c r="W12" s="2790">
        <f t="shared" si="1"/>
        <v>0</v>
      </c>
      <c r="X12" s="2790">
        <f t="shared" si="1"/>
        <v>0</v>
      </c>
      <c r="Y12" s="2790">
        <f t="shared" si="1"/>
        <v>0</v>
      </c>
      <c r="Z12" s="2790">
        <f t="shared" si="1"/>
        <v>0</v>
      </c>
      <c r="AA12" s="2793" t="s">
        <v>2969</v>
      </c>
      <c r="AB12" s="2794" t="s">
        <v>280</v>
      </c>
    </row>
    <row r="13" spans="1:31" s="2795" customFormat="1" ht="34.5" customHeight="1">
      <c r="D13" s="2796"/>
      <c r="E13" s="3345"/>
      <c r="F13" s="3345" t="s">
        <v>2980</v>
      </c>
      <c r="G13" s="3345" t="s">
        <v>2976</v>
      </c>
      <c r="I13" s="2797" t="s">
        <v>239</v>
      </c>
      <c r="K13" s="2797"/>
      <c r="L13" s="2798" t="s">
        <v>2970</v>
      </c>
      <c r="M13" s="2799">
        <v>3000</v>
      </c>
      <c r="N13" s="2799"/>
      <c r="O13" s="2800"/>
      <c r="P13" s="2801"/>
      <c r="Q13" s="2802"/>
      <c r="R13" s="2803"/>
      <c r="S13" s="2801"/>
      <c r="T13" s="2804">
        <v>3000</v>
      </c>
      <c r="U13" s="2801"/>
      <c r="V13" s="2801"/>
      <c r="W13" s="2805"/>
      <c r="X13" s="2806"/>
      <c r="Y13" s="2801"/>
      <c r="Z13" s="2807"/>
      <c r="AA13" s="2808" t="s">
        <v>2971</v>
      </c>
      <c r="AB13" s="2809"/>
    </row>
    <row r="14" spans="1:31" s="2795" customFormat="1">
      <c r="D14" s="2796"/>
      <c r="E14" s="3346"/>
      <c r="F14" s="3346"/>
      <c r="G14" s="3346"/>
      <c r="H14" s="2810"/>
      <c r="I14" s="2810"/>
      <c r="J14" s="2810"/>
      <c r="K14" s="2810"/>
      <c r="L14" s="2798" t="s">
        <v>2977</v>
      </c>
      <c r="M14" s="2799">
        <f>120*25*2</f>
        <v>6000</v>
      </c>
      <c r="N14" s="2799"/>
      <c r="O14" s="2800"/>
      <c r="P14" s="2801"/>
      <c r="Q14" s="2807"/>
      <c r="R14" s="2811"/>
      <c r="S14" s="2801"/>
      <c r="T14" s="2807">
        <v>6000</v>
      </c>
      <c r="U14" s="2800"/>
      <c r="V14" s="2801"/>
      <c r="W14" s="2807"/>
      <c r="X14" s="2800"/>
      <c r="Y14" s="2801"/>
      <c r="Z14" s="2807"/>
      <c r="AA14" s="2812"/>
      <c r="AB14" s="2813"/>
    </row>
    <row r="15" spans="1:31">
      <c r="D15" s="2814"/>
      <c r="E15" s="3346"/>
      <c r="F15" s="3346"/>
      <c r="G15" s="3346"/>
      <c r="H15" s="2810"/>
      <c r="I15" s="2810"/>
      <c r="J15" s="2810"/>
      <c r="K15" s="2810"/>
      <c r="L15" s="2815" t="s">
        <v>2978</v>
      </c>
      <c r="M15" s="2801">
        <f>120*70</f>
        <v>8400</v>
      </c>
      <c r="N15" s="2801"/>
      <c r="O15" s="2816"/>
      <c r="P15" s="2817"/>
      <c r="Q15" s="2818"/>
      <c r="R15" s="2816"/>
      <c r="S15" s="2817"/>
      <c r="T15" s="2819">
        <v>8400</v>
      </c>
      <c r="U15" s="2816"/>
      <c r="V15" s="2817"/>
      <c r="W15" s="2818"/>
      <c r="X15" s="2816"/>
      <c r="Y15" s="2817"/>
      <c r="Z15" s="2818"/>
      <c r="AA15" s="2812"/>
      <c r="AB15" s="2760"/>
    </row>
    <row r="16" spans="1:31" ht="141" customHeight="1">
      <c r="D16" s="2814"/>
      <c r="E16" s="3346"/>
      <c r="F16" s="3346"/>
      <c r="G16" s="3346"/>
      <c r="H16" s="2810"/>
      <c r="I16" s="2810"/>
      <c r="J16" s="2810"/>
      <c r="K16" s="2810"/>
      <c r="L16" s="2815" t="s">
        <v>2972</v>
      </c>
      <c r="M16" s="2801"/>
      <c r="N16" s="2801"/>
      <c r="O16" s="2816"/>
      <c r="P16" s="2817"/>
      <c r="Q16" s="2818"/>
      <c r="R16" s="2816"/>
      <c r="S16" s="2817"/>
      <c r="T16" s="2819"/>
      <c r="U16" s="2816"/>
      <c r="V16" s="2817"/>
      <c r="W16" s="2818"/>
      <c r="X16" s="2816"/>
      <c r="Y16" s="2817"/>
      <c r="Z16" s="2818"/>
      <c r="AA16" s="2812"/>
      <c r="AB16" s="2760"/>
    </row>
    <row r="17" spans="1:28" ht="30.9" customHeight="1">
      <c r="A17" s="2785">
        <v>4</v>
      </c>
      <c r="B17" s="2785">
        <v>11</v>
      </c>
      <c r="C17" s="2785">
        <v>32</v>
      </c>
      <c r="D17" s="2853">
        <v>2</v>
      </c>
      <c r="E17" s="2859" t="s">
        <v>2983</v>
      </c>
      <c r="F17" s="2859"/>
      <c r="G17" s="2859"/>
      <c r="H17" s="2860"/>
      <c r="I17" s="2860"/>
      <c r="J17" s="2861"/>
      <c r="K17" s="2860"/>
      <c r="L17" s="2862"/>
      <c r="M17" s="2863"/>
      <c r="N17" s="2864">
        <f>SUM(M18:M21)</f>
        <v>17400</v>
      </c>
      <c r="O17" s="2857">
        <f>SUM(O18:O21)</f>
        <v>0</v>
      </c>
      <c r="P17" s="2857">
        <f t="shared" ref="P17:Z17" si="2">SUM(P18:P21)</f>
        <v>17400</v>
      </c>
      <c r="Q17" s="2857">
        <f t="shared" si="2"/>
        <v>0</v>
      </c>
      <c r="R17" s="2857">
        <f t="shared" si="2"/>
        <v>0</v>
      </c>
      <c r="S17" s="2857">
        <f t="shared" si="2"/>
        <v>0</v>
      </c>
      <c r="T17" s="2857">
        <f t="shared" si="2"/>
        <v>0</v>
      </c>
      <c r="U17" s="2857">
        <f t="shared" si="2"/>
        <v>0</v>
      </c>
      <c r="V17" s="2857">
        <f t="shared" si="2"/>
        <v>0</v>
      </c>
      <c r="W17" s="2857">
        <f t="shared" si="2"/>
        <v>0</v>
      </c>
      <c r="X17" s="2857">
        <f t="shared" si="2"/>
        <v>0</v>
      </c>
      <c r="Y17" s="2857">
        <f t="shared" si="2"/>
        <v>0</v>
      </c>
      <c r="Z17" s="2857">
        <f t="shared" si="2"/>
        <v>0</v>
      </c>
      <c r="AA17" s="2865" t="s">
        <v>2969</v>
      </c>
      <c r="AB17" s="2794" t="s">
        <v>280</v>
      </c>
    </row>
    <row r="18" spans="1:28" ht="72">
      <c r="D18" s="2820"/>
      <c r="E18" s="2858">
        <v>2</v>
      </c>
      <c r="F18" s="2821" t="s">
        <v>2973</v>
      </c>
      <c r="G18" s="2821" t="s">
        <v>2979</v>
      </c>
      <c r="H18" s="2822" t="s">
        <v>239</v>
      </c>
      <c r="I18" s="2822"/>
      <c r="K18" s="2822"/>
      <c r="L18" s="2798" t="s">
        <v>2970</v>
      </c>
      <c r="M18" s="2823">
        <v>3000</v>
      </c>
      <c r="N18" s="2824"/>
      <c r="O18" s="2825"/>
      <c r="P18" s="2804">
        <v>3000</v>
      </c>
      <c r="Q18" s="2825"/>
      <c r="R18" s="2825"/>
      <c r="S18" s="2825"/>
      <c r="T18" s="2825"/>
      <c r="U18" s="2825"/>
      <c r="V18" s="2825"/>
      <c r="W18" s="2825"/>
      <c r="X18" s="2825"/>
      <c r="Y18" s="2826"/>
      <c r="Z18" s="2825"/>
      <c r="AA18" s="2808" t="s">
        <v>2971</v>
      </c>
      <c r="AB18" s="2809"/>
    </row>
    <row r="19" spans="1:28" ht="30" customHeight="1">
      <c r="D19" s="2827"/>
      <c r="E19" s="2828"/>
      <c r="F19" s="2829"/>
      <c r="G19" s="2829"/>
      <c r="H19" s="2810"/>
      <c r="I19" s="2796"/>
      <c r="J19" s="2796"/>
      <c r="K19" s="2796"/>
      <c r="L19" s="2798" t="s">
        <v>2977</v>
      </c>
      <c r="M19" s="2799">
        <f>120*25*2</f>
        <v>6000</v>
      </c>
      <c r="N19" s="2799"/>
      <c r="O19" s="2830"/>
      <c r="P19" s="2825">
        <v>6000</v>
      </c>
      <c r="Q19" s="2831"/>
      <c r="R19" s="2825"/>
      <c r="S19" s="2825"/>
      <c r="T19" s="2831"/>
      <c r="U19" s="2825"/>
      <c r="V19" s="2825"/>
      <c r="W19" s="2825"/>
      <c r="X19" s="2830"/>
      <c r="Y19" s="2826"/>
      <c r="Z19" s="2825"/>
      <c r="AA19" s="2832"/>
      <c r="AB19" s="2809"/>
    </row>
    <row r="20" spans="1:28">
      <c r="D20" s="2814"/>
      <c r="E20" s="2828"/>
      <c r="F20" s="2829"/>
      <c r="G20" s="2829"/>
      <c r="H20" s="2810"/>
      <c r="I20" s="2796"/>
      <c r="J20" s="2796"/>
      <c r="K20" s="2796"/>
      <c r="L20" s="2815" t="s">
        <v>2978</v>
      </c>
      <c r="M20" s="2801">
        <f>120*70</f>
        <v>8400</v>
      </c>
      <c r="N20" s="2801"/>
      <c r="O20" s="2830"/>
      <c r="P20" s="2825">
        <v>8400</v>
      </c>
      <c r="Q20" s="2831"/>
      <c r="R20" s="2825"/>
      <c r="S20" s="2825"/>
      <c r="T20" s="2831"/>
      <c r="U20" s="2825"/>
      <c r="V20" s="2825"/>
      <c r="W20" s="2825"/>
      <c r="X20" s="2830"/>
      <c r="Y20" s="2826"/>
      <c r="Z20" s="2825"/>
      <c r="AA20" s="2832"/>
      <c r="AB20" s="2809"/>
    </row>
    <row r="21" spans="1:28" ht="30" customHeight="1">
      <c r="D21" s="2814"/>
      <c r="E21" s="2828"/>
      <c r="F21" s="2829"/>
      <c r="G21" s="2829"/>
      <c r="H21" s="2810"/>
      <c r="I21" s="2796"/>
      <c r="J21" s="2796"/>
      <c r="K21" s="2796"/>
      <c r="L21" s="2815" t="s">
        <v>2972</v>
      </c>
      <c r="M21" s="2801"/>
      <c r="N21" s="2801"/>
      <c r="O21" s="2830"/>
      <c r="P21" s="2825"/>
      <c r="Q21" s="2831"/>
      <c r="R21" s="2825"/>
      <c r="S21" s="2825"/>
      <c r="T21" s="2831"/>
      <c r="U21" s="2833"/>
      <c r="V21" s="2825"/>
      <c r="W21" s="2825"/>
      <c r="X21" s="2830"/>
      <c r="Y21" s="2826"/>
      <c r="Z21" s="2825"/>
      <c r="AA21" s="2832"/>
      <c r="AB21" s="2809"/>
    </row>
    <row r="22" spans="1:28" ht="30" customHeight="1">
      <c r="A22" s="2785">
        <v>4</v>
      </c>
      <c r="B22" s="2785">
        <v>11</v>
      </c>
      <c r="C22" s="2785">
        <v>32</v>
      </c>
      <c r="D22" s="2853">
        <v>3</v>
      </c>
      <c r="E22" s="2866" t="s">
        <v>2984</v>
      </c>
      <c r="F22" s="2867"/>
      <c r="G22" s="2867"/>
      <c r="H22" s="2860"/>
      <c r="I22" s="2868"/>
      <c r="J22" s="2868"/>
      <c r="K22" s="2868"/>
      <c r="L22" s="2862"/>
      <c r="M22" s="2863"/>
      <c r="N22" s="2864">
        <f>SUM(M23:M26)</f>
        <v>17400</v>
      </c>
      <c r="O22" s="2869">
        <f>SUM(O23:O26)</f>
        <v>0</v>
      </c>
      <c r="P22" s="2869">
        <f t="shared" ref="P22:Z22" si="3">SUM(P23:P26)</f>
        <v>0</v>
      </c>
      <c r="Q22" s="2869">
        <f t="shared" si="3"/>
        <v>0</v>
      </c>
      <c r="R22" s="2869">
        <f t="shared" si="3"/>
        <v>0</v>
      </c>
      <c r="S22" s="2869">
        <f t="shared" si="3"/>
        <v>0</v>
      </c>
      <c r="T22" s="2869">
        <f t="shared" si="3"/>
        <v>0</v>
      </c>
      <c r="U22" s="2869">
        <f t="shared" si="3"/>
        <v>0</v>
      </c>
      <c r="V22" s="2869">
        <f t="shared" si="3"/>
        <v>17400</v>
      </c>
      <c r="W22" s="2869">
        <f t="shared" si="3"/>
        <v>0</v>
      </c>
      <c r="X22" s="2869">
        <f t="shared" si="3"/>
        <v>0</v>
      </c>
      <c r="Y22" s="2869">
        <f t="shared" si="3"/>
        <v>0</v>
      </c>
      <c r="Z22" s="2869">
        <f t="shared" si="3"/>
        <v>0</v>
      </c>
      <c r="AA22" s="2870" t="s">
        <v>2969</v>
      </c>
      <c r="AB22" s="2871" t="s">
        <v>280</v>
      </c>
    </row>
    <row r="23" spans="1:28" ht="57.45" customHeight="1">
      <c r="D23" s="2834"/>
      <c r="E23" s="2835"/>
      <c r="F23" s="2821" t="s">
        <v>2974</v>
      </c>
      <c r="G23" s="2821" t="s">
        <v>2981</v>
      </c>
      <c r="H23" s="2797"/>
      <c r="I23" s="2822"/>
      <c r="J23" s="2822" t="s">
        <v>239</v>
      </c>
      <c r="K23" s="2822"/>
      <c r="L23" s="2798" t="s">
        <v>2970</v>
      </c>
      <c r="M23" s="2823">
        <v>3000</v>
      </c>
      <c r="N23" s="2824"/>
      <c r="O23" s="2825"/>
      <c r="P23" s="2825"/>
      <c r="Q23" s="2825"/>
      <c r="R23" s="2825"/>
      <c r="S23" s="2825"/>
      <c r="T23" s="2825"/>
      <c r="U23" s="2825"/>
      <c r="V23" s="2804">
        <v>3000</v>
      </c>
      <c r="W23" s="2825"/>
      <c r="X23" s="2825"/>
      <c r="Y23" s="2826"/>
      <c r="Z23" s="2825"/>
      <c r="AA23" s="2808" t="s">
        <v>2971</v>
      </c>
      <c r="AB23" s="2809"/>
    </row>
    <row r="24" spans="1:28" ht="36">
      <c r="D24" s="2796"/>
      <c r="E24" s="2836"/>
      <c r="F24" s="2829" t="s">
        <v>2975</v>
      </c>
      <c r="G24" s="2829"/>
      <c r="H24" s="2810"/>
      <c r="I24" s="2796"/>
      <c r="J24" s="2796"/>
      <c r="K24" s="2796"/>
      <c r="L24" s="2798" t="s">
        <v>2977</v>
      </c>
      <c r="M24" s="2799">
        <f>120*25*2</f>
        <v>6000</v>
      </c>
      <c r="N24" s="2799"/>
      <c r="O24" s="2837"/>
      <c r="P24" s="2838"/>
      <c r="Q24" s="2839"/>
      <c r="R24" s="2840"/>
      <c r="S24" s="2825"/>
      <c r="T24" s="2839"/>
      <c r="U24" s="2840"/>
      <c r="V24" s="2825">
        <v>6000</v>
      </c>
      <c r="W24" s="2839"/>
      <c r="X24" s="2840"/>
      <c r="Y24" s="2826"/>
      <c r="Z24" s="2831"/>
      <c r="AA24" s="2809"/>
      <c r="AB24" s="2809"/>
    </row>
    <row r="25" spans="1:28">
      <c r="D25" s="2841"/>
      <c r="E25" s="2842"/>
      <c r="F25" s="2843"/>
      <c r="G25" s="2843"/>
      <c r="H25" s="2844"/>
      <c r="I25" s="2841"/>
      <c r="J25" s="2841"/>
      <c r="K25" s="2841"/>
      <c r="L25" s="2815" t="s">
        <v>2978</v>
      </c>
      <c r="M25" s="2801">
        <f>120*70</f>
        <v>8400</v>
      </c>
      <c r="N25" s="2801"/>
      <c r="O25" s="2830"/>
      <c r="P25" s="2825"/>
      <c r="Q25" s="2839"/>
      <c r="R25" s="2840"/>
      <c r="S25" s="2825"/>
      <c r="T25" s="2839"/>
      <c r="U25" s="2840"/>
      <c r="V25" s="2825">
        <v>8400</v>
      </c>
      <c r="W25" s="2839"/>
      <c r="X25" s="2840"/>
      <c r="Y25" s="2826"/>
      <c r="Z25" s="2831"/>
      <c r="AA25" s="2809"/>
      <c r="AB25" s="2809"/>
    </row>
    <row r="26" spans="1:28">
      <c r="D26" s="2809"/>
      <c r="E26" s="2798"/>
      <c r="F26" s="2845"/>
      <c r="G26" s="2845"/>
      <c r="H26" s="2846"/>
      <c r="I26" s="2809"/>
      <c r="J26" s="2809"/>
      <c r="K26" s="2809"/>
      <c r="L26" s="2815"/>
      <c r="M26" s="2801"/>
      <c r="N26" s="2801"/>
      <c r="O26" s="2825"/>
      <c r="P26" s="2825"/>
      <c r="Q26" s="2825"/>
      <c r="R26" s="2825"/>
      <c r="S26" s="2825"/>
      <c r="T26" s="2825"/>
      <c r="U26" s="2825"/>
      <c r="V26" s="2825"/>
      <c r="W26" s="2825"/>
      <c r="X26" s="2825"/>
      <c r="Y26" s="2826"/>
      <c r="Z26" s="2831"/>
      <c r="AA26" s="2809"/>
      <c r="AB26" s="2809"/>
    </row>
    <row r="28" spans="1:28">
      <c r="L28" s="2848"/>
    </row>
    <row r="29" spans="1:28">
      <c r="L29" s="2849"/>
    </row>
    <row r="30" spans="1:28">
      <c r="L30" s="2850"/>
    </row>
    <row r="31" spans="1:28">
      <c r="L31" s="2850"/>
    </row>
    <row r="32" spans="1:28">
      <c r="L32" s="2850"/>
    </row>
    <row r="33" spans="12:12">
      <c r="L33" s="2851"/>
    </row>
    <row r="50" spans="12:12">
      <c r="L50" s="2852"/>
    </row>
    <row r="51" spans="12:12">
      <c r="L51" s="2849"/>
    </row>
    <row r="52" spans="12:12">
      <c r="L52" s="2849"/>
    </row>
    <row r="53" spans="12:12">
      <c r="L53" s="2852"/>
    </row>
    <row r="54" spans="12:12">
      <c r="L54" s="2852"/>
    </row>
    <row r="55" spans="12:12">
      <c r="L55" s="2851">
        <f>SUM(L50:L54)</f>
        <v>0</v>
      </c>
    </row>
  </sheetData>
  <mergeCells count="5">
    <mergeCell ref="E13:E16"/>
    <mergeCell ref="F13:F16"/>
    <mergeCell ref="G13:G16"/>
    <mergeCell ref="D1:AB1"/>
    <mergeCell ref="D8:D1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71715-1991-4A5D-82E0-C1DA4B37D207}">
  <sheetPr>
    <tabColor rgb="FF92D050"/>
  </sheetPr>
  <dimension ref="A1:AL351"/>
  <sheetViews>
    <sheetView topLeftCell="G133" zoomScaleNormal="100" workbookViewId="0">
      <selection activeCell="F214" sqref="F214:M218"/>
    </sheetView>
  </sheetViews>
  <sheetFormatPr defaultColWidth="9" defaultRowHeight="10.3"/>
  <cols>
    <col min="1" max="1" width="2.35546875" style="441" customWidth="1"/>
    <col min="2" max="2" width="3.140625" style="441" customWidth="1"/>
    <col min="3" max="3" width="3.42578125" style="441" customWidth="1"/>
    <col min="4" max="4" width="5.640625" style="443" customWidth="1"/>
    <col min="5" max="5" width="15.85546875" style="442" customWidth="1"/>
    <col min="6" max="6" width="15.85546875" style="441" customWidth="1"/>
    <col min="7" max="7" width="18" style="441" customWidth="1"/>
    <col min="8" max="8" width="3.2109375" style="441" customWidth="1"/>
    <col min="9" max="9" width="3.2109375" style="443" customWidth="1"/>
    <col min="10" max="10" width="3.2109375" style="441" customWidth="1"/>
    <col min="11" max="11" width="3.2109375" style="443" customWidth="1"/>
    <col min="12" max="12" width="19" style="444" customWidth="1"/>
    <col min="13" max="14" width="8.35546875" style="445" customWidth="1"/>
    <col min="15" max="15" width="7.85546875" style="445" customWidth="1"/>
    <col min="16" max="16" width="7.0703125" style="445" customWidth="1"/>
    <col min="17" max="17" width="7.140625" style="445" customWidth="1"/>
    <col min="18" max="18" width="7.85546875" style="446" customWidth="1"/>
    <col min="19" max="19" width="8.2109375" style="446" customWidth="1"/>
    <col min="20" max="20" width="7.2109375" style="446" customWidth="1"/>
    <col min="21" max="21" width="7.42578125" style="445" customWidth="1"/>
    <col min="22" max="22" width="7.5" style="445" customWidth="1"/>
    <col min="23" max="23" width="7.140625" style="445" customWidth="1"/>
    <col min="24" max="24" width="8.5703125" style="445" customWidth="1"/>
    <col min="25" max="25" width="7" style="445" customWidth="1"/>
    <col min="26" max="26" width="9.78515625" style="445" customWidth="1"/>
    <col min="27" max="27" width="11.42578125" style="441" customWidth="1"/>
    <col min="28" max="28" width="12.5703125" style="447" customWidth="1"/>
    <col min="29" max="29" width="13.28515625" style="448" customWidth="1"/>
    <col min="30" max="30" width="10" style="448" bestFit="1" customWidth="1"/>
    <col min="31" max="31" width="12.140625" style="448" bestFit="1" customWidth="1"/>
    <col min="32" max="32" width="9.0703125" style="448" bestFit="1" customWidth="1"/>
    <col min="33" max="255" width="9" style="441"/>
    <col min="256" max="256" width="4.42578125" style="441" customWidth="1"/>
    <col min="257" max="257" width="20.5703125" style="441" customWidth="1"/>
    <col min="258" max="258" width="12.42578125" style="441" customWidth="1"/>
    <col min="259" max="259" width="12.5703125" style="441" customWidth="1"/>
    <col min="260" max="260" width="3.85546875" style="441" customWidth="1"/>
    <col min="261" max="262" width="4.140625" style="441" customWidth="1"/>
    <col min="263" max="263" width="4" style="441" customWidth="1"/>
    <col min="264" max="264" width="16.42578125" style="441" customWidth="1"/>
    <col min="265" max="265" width="5.5703125" style="441" customWidth="1"/>
    <col min="266" max="266" width="8.640625" style="441" customWidth="1"/>
    <col min="267" max="267" width="5.42578125" style="441" customWidth="1"/>
    <col min="268" max="268" width="4.42578125" style="441" customWidth="1"/>
    <col min="269" max="269" width="4.140625" style="441" customWidth="1"/>
    <col min="270" max="270" width="3.140625" style="441" customWidth="1"/>
    <col min="271" max="271" width="4.5703125" style="441" customWidth="1"/>
    <col min="272" max="272" width="4.42578125" style="441" customWidth="1"/>
    <col min="273" max="273" width="4" style="441" customWidth="1"/>
    <col min="274" max="274" width="3" style="441" customWidth="1"/>
    <col min="275" max="275" width="3.85546875" style="441" customWidth="1"/>
    <col min="276" max="276" width="4.42578125" style="441" customWidth="1"/>
    <col min="277" max="277" width="3.42578125" style="441" customWidth="1"/>
    <col min="278" max="278" width="4.85546875" style="441" customWidth="1"/>
    <col min="279" max="279" width="10.5703125" style="441" customWidth="1"/>
    <col min="280" max="280" width="7.140625" style="441" customWidth="1"/>
    <col min="281" max="281" width="8.140625" style="441" customWidth="1"/>
    <col min="282" max="282" width="7.5703125" style="441" customWidth="1"/>
    <col min="283" max="284" width="7.640625" style="441" customWidth="1"/>
    <col min="285" max="285" width="7.140625" style="441" customWidth="1"/>
    <col min="286" max="511" width="9" style="441"/>
    <col min="512" max="512" width="4.42578125" style="441" customWidth="1"/>
    <col min="513" max="513" width="20.5703125" style="441" customWidth="1"/>
    <col min="514" max="514" width="12.42578125" style="441" customWidth="1"/>
    <col min="515" max="515" width="12.5703125" style="441" customWidth="1"/>
    <col min="516" max="516" width="3.85546875" style="441" customWidth="1"/>
    <col min="517" max="518" width="4.140625" style="441" customWidth="1"/>
    <col min="519" max="519" width="4" style="441" customWidth="1"/>
    <col min="520" max="520" width="16.42578125" style="441" customWidth="1"/>
    <col min="521" max="521" width="5.5703125" style="441" customWidth="1"/>
    <col min="522" max="522" width="8.640625" style="441" customWidth="1"/>
    <col min="523" max="523" width="5.42578125" style="441" customWidth="1"/>
    <col min="524" max="524" width="4.42578125" style="441" customWidth="1"/>
    <col min="525" max="525" width="4.140625" style="441" customWidth="1"/>
    <col min="526" max="526" width="3.140625" style="441" customWidth="1"/>
    <col min="527" max="527" width="4.5703125" style="441" customWidth="1"/>
    <col min="528" max="528" width="4.42578125" style="441" customWidth="1"/>
    <col min="529" max="529" width="4" style="441" customWidth="1"/>
    <col min="530" max="530" width="3" style="441" customWidth="1"/>
    <col min="531" max="531" width="3.85546875" style="441" customWidth="1"/>
    <col min="532" max="532" width="4.42578125" style="441" customWidth="1"/>
    <col min="533" max="533" width="3.42578125" style="441" customWidth="1"/>
    <col min="534" max="534" width="4.85546875" style="441" customWidth="1"/>
    <col min="535" max="535" width="10.5703125" style="441" customWidth="1"/>
    <col min="536" max="536" width="7.140625" style="441" customWidth="1"/>
    <col min="537" max="537" width="8.140625" style="441" customWidth="1"/>
    <col min="538" max="538" width="7.5703125" style="441" customWidth="1"/>
    <col min="539" max="540" width="7.640625" style="441" customWidth="1"/>
    <col min="541" max="541" width="7.140625" style="441" customWidth="1"/>
    <col min="542" max="767" width="9" style="441"/>
    <col min="768" max="768" width="4.42578125" style="441" customWidth="1"/>
    <col min="769" max="769" width="20.5703125" style="441" customWidth="1"/>
    <col min="770" max="770" width="12.42578125" style="441" customWidth="1"/>
    <col min="771" max="771" width="12.5703125" style="441" customWidth="1"/>
    <col min="772" max="772" width="3.85546875" style="441" customWidth="1"/>
    <col min="773" max="774" width="4.140625" style="441" customWidth="1"/>
    <col min="775" max="775" width="4" style="441" customWidth="1"/>
    <col min="776" max="776" width="16.42578125" style="441" customWidth="1"/>
    <col min="777" max="777" width="5.5703125" style="441" customWidth="1"/>
    <col min="778" max="778" width="8.640625" style="441" customWidth="1"/>
    <col min="779" max="779" width="5.42578125" style="441" customWidth="1"/>
    <col min="780" max="780" width="4.42578125" style="441" customWidth="1"/>
    <col min="781" max="781" width="4.140625" style="441" customWidth="1"/>
    <col min="782" max="782" width="3.140625" style="441" customWidth="1"/>
    <col min="783" max="783" width="4.5703125" style="441" customWidth="1"/>
    <col min="784" max="784" width="4.42578125" style="441" customWidth="1"/>
    <col min="785" max="785" width="4" style="441" customWidth="1"/>
    <col min="786" max="786" width="3" style="441" customWidth="1"/>
    <col min="787" max="787" width="3.85546875" style="441" customWidth="1"/>
    <col min="788" max="788" width="4.42578125" style="441" customWidth="1"/>
    <col min="789" max="789" width="3.42578125" style="441" customWidth="1"/>
    <col min="790" max="790" width="4.85546875" style="441" customWidth="1"/>
    <col min="791" max="791" width="10.5703125" style="441" customWidth="1"/>
    <col min="792" max="792" width="7.140625" style="441" customWidth="1"/>
    <col min="793" max="793" width="8.140625" style="441" customWidth="1"/>
    <col min="794" max="794" width="7.5703125" style="441" customWidth="1"/>
    <col min="795" max="796" width="7.640625" style="441" customWidth="1"/>
    <col min="797" max="797" width="7.140625" style="441" customWidth="1"/>
    <col min="798" max="1023" width="9" style="441"/>
    <col min="1024" max="1024" width="4.42578125" style="441" customWidth="1"/>
    <col min="1025" max="1025" width="20.5703125" style="441" customWidth="1"/>
    <col min="1026" max="1026" width="12.42578125" style="441" customWidth="1"/>
    <col min="1027" max="1027" width="12.5703125" style="441" customWidth="1"/>
    <col min="1028" max="1028" width="3.85546875" style="441" customWidth="1"/>
    <col min="1029" max="1030" width="4.140625" style="441" customWidth="1"/>
    <col min="1031" max="1031" width="4" style="441" customWidth="1"/>
    <col min="1032" max="1032" width="16.42578125" style="441" customWidth="1"/>
    <col min="1033" max="1033" width="5.5703125" style="441" customWidth="1"/>
    <col min="1034" max="1034" width="8.640625" style="441" customWidth="1"/>
    <col min="1035" max="1035" width="5.42578125" style="441" customWidth="1"/>
    <col min="1036" max="1036" width="4.42578125" style="441" customWidth="1"/>
    <col min="1037" max="1037" width="4.140625" style="441" customWidth="1"/>
    <col min="1038" max="1038" width="3.140625" style="441" customWidth="1"/>
    <col min="1039" max="1039" width="4.5703125" style="441" customWidth="1"/>
    <col min="1040" max="1040" width="4.42578125" style="441" customWidth="1"/>
    <col min="1041" max="1041" width="4" style="441" customWidth="1"/>
    <col min="1042" max="1042" width="3" style="441" customWidth="1"/>
    <col min="1043" max="1043" width="3.85546875" style="441" customWidth="1"/>
    <col min="1044" max="1044" width="4.42578125" style="441" customWidth="1"/>
    <col min="1045" max="1045" width="3.42578125" style="441" customWidth="1"/>
    <col min="1046" max="1046" width="4.85546875" style="441" customWidth="1"/>
    <col min="1047" max="1047" width="10.5703125" style="441" customWidth="1"/>
    <col min="1048" max="1048" width="7.140625" style="441" customWidth="1"/>
    <col min="1049" max="1049" width="8.140625" style="441" customWidth="1"/>
    <col min="1050" max="1050" width="7.5703125" style="441" customWidth="1"/>
    <col min="1051" max="1052" width="7.640625" style="441" customWidth="1"/>
    <col min="1053" max="1053" width="7.140625" style="441" customWidth="1"/>
    <col min="1054" max="1279" width="9" style="441"/>
    <col min="1280" max="1280" width="4.42578125" style="441" customWidth="1"/>
    <col min="1281" max="1281" width="20.5703125" style="441" customWidth="1"/>
    <col min="1282" max="1282" width="12.42578125" style="441" customWidth="1"/>
    <col min="1283" max="1283" width="12.5703125" style="441" customWidth="1"/>
    <col min="1284" max="1284" width="3.85546875" style="441" customWidth="1"/>
    <col min="1285" max="1286" width="4.140625" style="441" customWidth="1"/>
    <col min="1287" max="1287" width="4" style="441" customWidth="1"/>
    <col min="1288" max="1288" width="16.42578125" style="441" customWidth="1"/>
    <col min="1289" max="1289" width="5.5703125" style="441" customWidth="1"/>
    <col min="1290" max="1290" width="8.640625" style="441" customWidth="1"/>
    <col min="1291" max="1291" width="5.42578125" style="441" customWidth="1"/>
    <col min="1292" max="1292" width="4.42578125" style="441" customWidth="1"/>
    <col min="1293" max="1293" width="4.140625" style="441" customWidth="1"/>
    <col min="1294" max="1294" width="3.140625" style="441" customWidth="1"/>
    <col min="1295" max="1295" width="4.5703125" style="441" customWidth="1"/>
    <col min="1296" max="1296" width="4.42578125" style="441" customWidth="1"/>
    <col min="1297" max="1297" width="4" style="441" customWidth="1"/>
    <col min="1298" max="1298" width="3" style="441" customWidth="1"/>
    <col min="1299" max="1299" width="3.85546875" style="441" customWidth="1"/>
    <col min="1300" max="1300" width="4.42578125" style="441" customWidth="1"/>
    <col min="1301" max="1301" width="3.42578125" style="441" customWidth="1"/>
    <col min="1302" max="1302" width="4.85546875" style="441" customWidth="1"/>
    <col min="1303" max="1303" width="10.5703125" style="441" customWidth="1"/>
    <col min="1304" max="1304" width="7.140625" style="441" customWidth="1"/>
    <col min="1305" max="1305" width="8.140625" style="441" customWidth="1"/>
    <col min="1306" max="1306" width="7.5703125" style="441" customWidth="1"/>
    <col min="1307" max="1308" width="7.640625" style="441" customWidth="1"/>
    <col min="1309" max="1309" width="7.140625" style="441" customWidth="1"/>
    <col min="1310" max="1535" width="9" style="441"/>
    <col min="1536" max="1536" width="4.42578125" style="441" customWidth="1"/>
    <col min="1537" max="1537" width="20.5703125" style="441" customWidth="1"/>
    <col min="1538" max="1538" width="12.42578125" style="441" customWidth="1"/>
    <col min="1539" max="1539" width="12.5703125" style="441" customWidth="1"/>
    <col min="1540" max="1540" width="3.85546875" style="441" customWidth="1"/>
    <col min="1541" max="1542" width="4.140625" style="441" customWidth="1"/>
    <col min="1543" max="1543" width="4" style="441" customWidth="1"/>
    <col min="1544" max="1544" width="16.42578125" style="441" customWidth="1"/>
    <col min="1545" max="1545" width="5.5703125" style="441" customWidth="1"/>
    <col min="1546" max="1546" width="8.640625" style="441" customWidth="1"/>
    <col min="1547" max="1547" width="5.42578125" style="441" customWidth="1"/>
    <col min="1548" max="1548" width="4.42578125" style="441" customWidth="1"/>
    <col min="1549" max="1549" width="4.140625" style="441" customWidth="1"/>
    <col min="1550" max="1550" width="3.140625" style="441" customWidth="1"/>
    <col min="1551" max="1551" width="4.5703125" style="441" customWidth="1"/>
    <col min="1552" max="1552" width="4.42578125" style="441" customWidth="1"/>
    <col min="1553" max="1553" width="4" style="441" customWidth="1"/>
    <col min="1554" max="1554" width="3" style="441" customWidth="1"/>
    <col min="1555" max="1555" width="3.85546875" style="441" customWidth="1"/>
    <col min="1556" max="1556" width="4.42578125" style="441" customWidth="1"/>
    <col min="1557" max="1557" width="3.42578125" style="441" customWidth="1"/>
    <col min="1558" max="1558" width="4.85546875" style="441" customWidth="1"/>
    <col min="1559" max="1559" width="10.5703125" style="441" customWidth="1"/>
    <col min="1560" max="1560" width="7.140625" style="441" customWidth="1"/>
    <col min="1561" max="1561" width="8.140625" style="441" customWidth="1"/>
    <col min="1562" max="1562" width="7.5703125" style="441" customWidth="1"/>
    <col min="1563" max="1564" width="7.640625" style="441" customWidth="1"/>
    <col min="1565" max="1565" width="7.140625" style="441" customWidth="1"/>
    <col min="1566" max="1791" width="9" style="441"/>
    <col min="1792" max="1792" width="4.42578125" style="441" customWidth="1"/>
    <col min="1793" max="1793" width="20.5703125" style="441" customWidth="1"/>
    <col min="1794" max="1794" width="12.42578125" style="441" customWidth="1"/>
    <col min="1795" max="1795" width="12.5703125" style="441" customWidth="1"/>
    <col min="1796" max="1796" width="3.85546875" style="441" customWidth="1"/>
    <col min="1797" max="1798" width="4.140625" style="441" customWidth="1"/>
    <col min="1799" max="1799" width="4" style="441" customWidth="1"/>
    <col min="1800" max="1800" width="16.42578125" style="441" customWidth="1"/>
    <col min="1801" max="1801" width="5.5703125" style="441" customWidth="1"/>
    <col min="1802" max="1802" width="8.640625" style="441" customWidth="1"/>
    <col min="1803" max="1803" width="5.42578125" style="441" customWidth="1"/>
    <col min="1804" max="1804" width="4.42578125" style="441" customWidth="1"/>
    <col min="1805" max="1805" width="4.140625" style="441" customWidth="1"/>
    <col min="1806" max="1806" width="3.140625" style="441" customWidth="1"/>
    <col min="1807" max="1807" width="4.5703125" style="441" customWidth="1"/>
    <col min="1808" max="1808" width="4.42578125" style="441" customWidth="1"/>
    <col min="1809" max="1809" width="4" style="441" customWidth="1"/>
    <col min="1810" max="1810" width="3" style="441" customWidth="1"/>
    <col min="1811" max="1811" width="3.85546875" style="441" customWidth="1"/>
    <col min="1812" max="1812" width="4.42578125" style="441" customWidth="1"/>
    <col min="1813" max="1813" width="3.42578125" style="441" customWidth="1"/>
    <col min="1814" max="1814" width="4.85546875" style="441" customWidth="1"/>
    <col min="1815" max="1815" width="10.5703125" style="441" customWidth="1"/>
    <col min="1816" max="1816" width="7.140625" style="441" customWidth="1"/>
    <col min="1817" max="1817" width="8.140625" style="441" customWidth="1"/>
    <col min="1818" max="1818" width="7.5703125" style="441" customWidth="1"/>
    <col min="1819" max="1820" width="7.640625" style="441" customWidth="1"/>
    <col min="1821" max="1821" width="7.140625" style="441" customWidth="1"/>
    <col min="1822" max="2047" width="9" style="441"/>
    <col min="2048" max="2048" width="4.42578125" style="441" customWidth="1"/>
    <col min="2049" max="2049" width="20.5703125" style="441" customWidth="1"/>
    <col min="2050" max="2050" width="12.42578125" style="441" customWidth="1"/>
    <col min="2051" max="2051" width="12.5703125" style="441" customWidth="1"/>
    <col min="2052" max="2052" width="3.85546875" style="441" customWidth="1"/>
    <col min="2053" max="2054" width="4.140625" style="441" customWidth="1"/>
    <col min="2055" max="2055" width="4" style="441" customWidth="1"/>
    <col min="2056" max="2056" width="16.42578125" style="441" customWidth="1"/>
    <col min="2057" max="2057" width="5.5703125" style="441" customWidth="1"/>
    <col min="2058" max="2058" width="8.640625" style="441" customWidth="1"/>
    <col min="2059" max="2059" width="5.42578125" style="441" customWidth="1"/>
    <col min="2060" max="2060" width="4.42578125" style="441" customWidth="1"/>
    <col min="2061" max="2061" width="4.140625" style="441" customWidth="1"/>
    <col min="2062" max="2062" width="3.140625" style="441" customWidth="1"/>
    <col min="2063" max="2063" width="4.5703125" style="441" customWidth="1"/>
    <col min="2064" max="2064" width="4.42578125" style="441" customWidth="1"/>
    <col min="2065" max="2065" width="4" style="441" customWidth="1"/>
    <col min="2066" max="2066" width="3" style="441" customWidth="1"/>
    <col min="2067" max="2067" width="3.85546875" style="441" customWidth="1"/>
    <col min="2068" max="2068" width="4.42578125" style="441" customWidth="1"/>
    <col min="2069" max="2069" width="3.42578125" style="441" customWidth="1"/>
    <col min="2070" max="2070" width="4.85546875" style="441" customWidth="1"/>
    <col min="2071" max="2071" width="10.5703125" style="441" customWidth="1"/>
    <col min="2072" max="2072" width="7.140625" style="441" customWidth="1"/>
    <col min="2073" max="2073" width="8.140625" style="441" customWidth="1"/>
    <col min="2074" max="2074" width="7.5703125" style="441" customWidth="1"/>
    <col min="2075" max="2076" width="7.640625" style="441" customWidth="1"/>
    <col min="2077" max="2077" width="7.140625" style="441" customWidth="1"/>
    <col min="2078" max="2303" width="9" style="441"/>
    <col min="2304" max="2304" width="4.42578125" style="441" customWidth="1"/>
    <col min="2305" max="2305" width="20.5703125" style="441" customWidth="1"/>
    <col min="2306" max="2306" width="12.42578125" style="441" customWidth="1"/>
    <col min="2307" max="2307" width="12.5703125" style="441" customWidth="1"/>
    <col min="2308" max="2308" width="3.85546875" style="441" customWidth="1"/>
    <col min="2309" max="2310" width="4.140625" style="441" customWidth="1"/>
    <col min="2311" max="2311" width="4" style="441" customWidth="1"/>
    <col min="2312" max="2312" width="16.42578125" style="441" customWidth="1"/>
    <col min="2313" max="2313" width="5.5703125" style="441" customWidth="1"/>
    <col min="2314" max="2314" width="8.640625" style="441" customWidth="1"/>
    <col min="2315" max="2315" width="5.42578125" style="441" customWidth="1"/>
    <col min="2316" max="2316" width="4.42578125" style="441" customWidth="1"/>
    <col min="2317" max="2317" width="4.140625" style="441" customWidth="1"/>
    <col min="2318" max="2318" width="3.140625" style="441" customWidth="1"/>
    <col min="2319" max="2319" width="4.5703125" style="441" customWidth="1"/>
    <col min="2320" max="2320" width="4.42578125" style="441" customWidth="1"/>
    <col min="2321" max="2321" width="4" style="441" customWidth="1"/>
    <col min="2322" max="2322" width="3" style="441" customWidth="1"/>
    <col min="2323" max="2323" width="3.85546875" style="441" customWidth="1"/>
    <col min="2324" max="2324" width="4.42578125" style="441" customWidth="1"/>
    <col min="2325" max="2325" width="3.42578125" style="441" customWidth="1"/>
    <col min="2326" max="2326" width="4.85546875" style="441" customWidth="1"/>
    <col min="2327" max="2327" width="10.5703125" style="441" customWidth="1"/>
    <col min="2328" max="2328" width="7.140625" style="441" customWidth="1"/>
    <col min="2329" max="2329" width="8.140625" style="441" customWidth="1"/>
    <col min="2330" max="2330" width="7.5703125" style="441" customWidth="1"/>
    <col min="2331" max="2332" width="7.640625" style="441" customWidth="1"/>
    <col min="2333" max="2333" width="7.140625" style="441" customWidth="1"/>
    <col min="2334" max="2559" width="9" style="441"/>
    <col min="2560" max="2560" width="4.42578125" style="441" customWidth="1"/>
    <col min="2561" max="2561" width="20.5703125" style="441" customWidth="1"/>
    <col min="2562" max="2562" width="12.42578125" style="441" customWidth="1"/>
    <col min="2563" max="2563" width="12.5703125" style="441" customWidth="1"/>
    <col min="2564" max="2564" width="3.85546875" style="441" customWidth="1"/>
    <col min="2565" max="2566" width="4.140625" style="441" customWidth="1"/>
    <col min="2567" max="2567" width="4" style="441" customWidth="1"/>
    <col min="2568" max="2568" width="16.42578125" style="441" customWidth="1"/>
    <col min="2569" max="2569" width="5.5703125" style="441" customWidth="1"/>
    <col min="2570" max="2570" width="8.640625" style="441" customWidth="1"/>
    <col min="2571" max="2571" width="5.42578125" style="441" customWidth="1"/>
    <col min="2572" max="2572" width="4.42578125" style="441" customWidth="1"/>
    <col min="2573" max="2573" width="4.140625" style="441" customWidth="1"/>
    <col min="2574" max="2574" width="3.140625" style="441" customWidth="1"/>
    <col min="2575" max="2575" width="4.5703125" style="441" customWidth="1"/>
    <col min="2576" max="2576" width="4.42578125" style="441" customWidth="1"/>
    <col min="2577" max="2577" width="4" style="441" customWidth="1"/>
    <col min="2578" max="2578" width="3" style="441" customWidth="1"/>
    <col min="2579" max="2579" width="3.85546875" style="441" customWidth="1"/>
    <col min="2580" max="2580" width="4.42578125" style="441" customWidth="1"/>
    <col min="2581" max="2581" width="3.42578125" style="441" customWidth="1"/>
    <col min="2582" max="2582" width="4.85546875" style="441" customWidth="1"/>
    <col min="2583" max="2583" width="10.5703125" style="441" customWidth="1"/>
    <col min="2584" max="2584" width="7.140625" style="441" customWidth="1"/>
    <col min="2585" max="2585" width="8.140625" style="441" customWidth="1"/>
    <col min="2586" max="2586" width="7.5703125" style="441" customWidth="1"/>
    <col min="2587" max="2588" width="7.640625" style="441" customWidth="1"/>
    <col min="2589" max="2589" width="7.140625" style="441" customWidth="1"/>
    <col min="2590" max="2815" width="9" style="441"/>
    <col min="2816" max="2816" width="4.42578125" style="441" customWidth="1"/>
    <col min="2817" max="2817" width="20.5703125" style="441" customWidth="1"/>
    <col min="2818" max="2818" width="12.42578125" style="441" customWidth="1"/>
    <col min="2819" max="2819" width="12.5703125" style="441" customWidth="1"/>
    <col min="2820" max="2820" width="3.85546875" style="441" customWidth="1"/>
    <col min="2821" max="2822" width="4.140625" style="441" customWidth="1"/>
    <col min="2823" max="2823" width="4" style="441" customWidth="1"/>
    <col min="2824" max="2824" width="16.42578125" style="441" customWidth="1"/>
    <col min="2825" max="2825" width="5.5703125" style="441" customWidth="1"/>
    <col min="2826" max="2826" width="8.640625" style="441" customWidth="1"/>
    <col min="2827" max="2827" width="5.42578125" style="441" customWidth="1"/>
    <col min="2828" max="2828" width="4.42578125" style="441" customWidth="1"/>
    <col min="2829" max="2829" width="4.140625" style="441" customWidth="1"/>
    <col min="2830" max="2830" width="3.140625" style="441" customWidth="1"/>
    <col min="2831" max="2831" width="4.5703125" style="441" customWidth="1"/>
    <col min="2832" max="2832" width="4.42578125" style="441" customWidth="1"/>
    <col min="2833" max="2833" width="4" style="441" customWidth="1"/>
    <col min="2834" max="2834" width="3" style="441" customWidth="1"/>
    <col min="2835" max="2835" width="3.85546875" style="441" customWidth="1"/>
    <col min="2836" max="2836" width="4.42578125" style="441" customWidth="1"/>
    <col min="2837" max="2837" width="3.42578125" style="441" customWidth="1"/>
    <col min="2838" max="2838" width="4.85546875" style="441" customWidth="1"/>
    <col min="2839" max="2839" width="10.5703125" style="441" customWidth="1"/>
    <col min="2840" max="2840" width="7.140625" style="441" customWidth="1"/>
    <col min="2841" max="2841" width="8.140625" style="441" customWidth="1"/>
    <col min="2842" max="2842" width="7.5703125" style="441" customWidth="1"/>
    <col min="2843" max="2844" width="7.640625" style="441" customWidth="1"/>
    <col min="2845" max="2845" width="7.140625" style="441" customWidth="1"/>
    <col min="2846" max="3071" width="9" style="441"/>
    <col min="3072" max="3072" width="4.42578125" style="441" customWidth="1"/>
    <col min="3073" max="3073" width="20.5703125" style="441" customWidth="1"/>
    <col min="3074" max="3074" width="12.42578125" style="441" customWidth="1"/>
    <col min="3075" max="3075" width="12.5703125" style="441" customWidth="1"/>
    <col min="3076" max="3076" width="3.85546875" style="441" customWidth="1"/>
    <col min="3077" max="3078" width="4.140625" style="441" customWidth="1"/>
    <col min="3079" max="3079" width="4" style="441" customWidth="1"/>
    <col min="3080" max="3080" width="16.42578125" style="441" customWidth="1"/>
    <col min="3081" max="3081" width="5.5703125" style="441" customWidth="1"/>
    <col min="3082" max="3082" width="8.640625" style="441" customWidth="1"/>
    <col min="3083" max="3083" width="5.42578125" style="441" customWidth="1"/>
    <col min="3084" max="3084" width="4.42578125" style="441" customWidth="1"/>
    <col min="3085" max="3085" width="4.140625" style="441" customWidth="1"/>
    <col min="3086" max="3086" width="3.140625" style="441" customWidth="1"/>
    <col min="3087" max="3087" width="4.5703125" style="441" customWidth="1"/>
    <col min="3088" max="3088" width="4.42578125" style="441" customWidth="1"/>
    <col min="3089" max="3089" width="4" style="441" customWidth="1"/>
    <col min="3090" max="3090" width="3" style="441" customWidth="1"/>
    <col min="3091" max="3091" width="3.85546875" style="441" customWidth="1"/>
    <col min="3092" max="3092" width="4.42578125" style="441" customWidth="1"/>
    <col min="3093" max="3093" width="3.42578125" style="441" customWidth="1"/>
    <col min="3094" max="3094" width="4.85546875" style="441" customWidth="1"/>
    <col min="3095" max="3095" width="10.5703125" style="441" customWidth="1"/>
    <col min="3096" max="3096" width="7.140625" style="441" customWidth="1"/>
    <col min="3097" max="3097" width="8.140625" style="441" customWidth="1"/>
    <col min="3098" max="3098" width="7.5703125" style="441" customWidth="1"/>
    <col min="3099" max="3100" width="7.640625" style="441" customWidth="1"/>
    <col min="3101" max="3101" width="7.140625" style="441" customWidth="1"/>
    <col min="3102" max="3327" width="9" style="441"/>
    <col min="3328" max="3328" width="4.42578125" style="441" customWidth="1"/>
    <col min="3329" max="3329" width="20.5703125" style="441" customWidth="1"/>
    <col min="3330" max="3330" width="12.42578125" style="441" customWidth="1"/>
    <col min="3331" max="3331" width="12.5703125" style="441" customWidth="1"/>
    <col min="3332" max="3332" width="3.85546875" style="441" customWidth="1"/>
    <col min="3333" max="3334" width="4.140625" style="441" customWidth="1"/>
    <col min="3335" max="3335" width="4" style="441" customWidth="1"/>
    <col min="3336" max="3336" width="16.42578125" style="441" customWidth="1"/>
    <col min="3337" max="3337" width="5.5703125" style="441" customWidth="1"/>
    <col min="3338" max="3338" width="8.640625" style="441" customWidth="1"/>
    <col min="3339" max="3339" width="5.42578125" style="441" customWidth="1"/>
    <col min="3340" max="3340" width="4.42578125" style="441" customWidth="1"/>
    <col min="3341" max="3341" width="4.140625" style="441" customWidth="1"/>
    <col min="3342" max="3342" width="3.140625" style="441" customWidth="1"/>
    <col min="3343" max="3343" width="4.5703125" style="441" customWidth="1"/>
    <col min="3344" max="3344" width="4.42578125" style="441" customWidth="1"/>
    <col min="3345" max="3345" width="4" style="441" customWidth="1"/>
    <col min="3346" max="3346" width="3" style="441" customWidth="1"/>
    <col min="3347" max="3347" width="3.85546875" style="441" customWidth="1"/>
    <col min="3348" max="3348" width="4.42578125" style="441" customWidth="1"/>
    <col min="3349" max="3349" width="3.42578125" style="441" customWidth="1"/>
    <col min="3350" max="3350" width="4.85546875" style="441" customWidth="1"/>
    <col min="3351" max="3351" width="10.5703125" style="441" customWidth="1"/>
    <col min="3352" max="3352" width="7.140625" style="441" customWidth="1"/>
    <col min="3353" max="3353" width="8.140625" style="441" customWidth="1"/>
    <col min="3354" max="3354" width="7.5703125" style="441" customWidth="1"/>
    <col min="3355" max="3356" width="7.640625" style="441" customWidth="1"/>
    <col min="3357" max="3357" width="7.140625" style="441" customWidth="1"/>
    <col min="3358" max="3583" width="9" style="441"/>
    <col min="3584" max="3584" width="4.42578125" style="441" customWidth="1"/>
    <col min="3585" max="3585" width="20.5703125" style="441" customWidth="1"/>
    <col min="3586" max="3586" width="12.42578125" style="441" customWidth="1"/>
    <col min="3587" max="3587" width="12.5703125" style="441" customWidth="1"/>
    <col min="3588" max="3588" width="3.85546875" style="441" customWidth="1"/>
    <col min="3589" max="3590" width="4.140625" style="441" customWidth="1"/>
    <col min="3591" max="3591" width="4" style="441" customWidth="1"/>
    <col min="3592" max="3592" width="16.42578125" style="441" customWidth="1"/>
    <col min="3593" max="3593" width="5.5703125" style="441" customWidth="1"/>
    <col min="3594" max="3594" width="8.640625" style="441" customWidth="1"/>
    <col min="3595" max="3595" width="5.42578125" style="441" customWidth="1"/>
    <col min="3596" max="3596" width="4.42578125" style="441" customWidth="1"/>
    <col min="3597" max="3597" width="4.140625" style="441" customWidth="1"/>
    <col min="3598" max="3598" width="3.140625" style="441" customWidth="1"/>
    <col min="3599" max="3599" width="4.5703125" style="441" customWidth="1"/>
    <col min="3600" max="3600" width="4.42578125" style="441" customWidth="1"/>
    <col min="3601" max="3601" width="4" style="441" customWidth="1"/>
    <col min="3602" max="3602" width="3" style="441" customWidth="1"/>
    <col min="3603" max="3603" width="3.85546875" style="441" customWidth="1"/>
    <col min="3604" max="3604" width="4.42578125" style="441" customWidth="1"/>
    <col min="3605" max="3605" width="3.42578125" style="441" customWidth="1"/>
    <col min="3606" max="3606" width="4.85546875" style="441" customWidth="1"/>
    <col min="3607" max="3607" width="10.5703125" style="441" customWidth="1"/>
    <col min="3608" max="3608" width="7.140625" style="441" customWidth="1"/>
    <col min="3609" max="3609" width="8.140625" style="441" customWidth="1"/>
    <col min="3610" max="3610" width="7.5703125" style="441" customWidth="1"/>
    <col min="3611" max="3612" width="7.640625" style="441" customWidth="1"/>
    <col min="3613" max="3613" width="7.140625" style="441" customWidth="1"/>
    <col min="3614" max="3839" width="9" style="441"/>
    <col min="3840" max="3840" width="4.42578125" style="441" customWidth="1"/>
    <col min="3841" max="3841" width="20.5703125" style="441" customWidth="1"/>
    <col min="3842" max="3842" width="12.42578125" style="441" customWidth="1"/>
    <col min="3843" max="3843" width="12.5703125" style="441" customWidth="1"/>
    <col min="3844" max="3844" width="3.85546875" style="441" customWidth="1"/>
    <col min="3845" max="3846" width="4.140625" style="441" customWidth="1"/>
    <col min="3847" max="3847" width="4" style="441" customWidth="1"/>
    <col min="3848" max="3848" width="16.42578125" style="441" customWidth="1"/>
    <col min="3849" max="3849" width="5.5703125" style="441" customWidth="1"/>
    <col min="3850" max="3850" width="8.640625" style="441" customWidth="1"/>
    <col min="3851" max="3851" width="5.42578125" style="441" customWidth="1"/>
    <col min="3852" max="3852" width="4.42578125" style="441" customWidth="1"/>
    <col min="3853" max="3853" width="4.140625" style="441" customWidth="1"/>
    <col min="3854" max="3854" width="3.140625" style="441" customWidth="1"/>
    <col min="3855" max="3855" width="4.5703125" style="441" customWidth="1"/>
    <col min="3856" max="3856" width="4.42578125" style="441" customWidth="1"/>
    <col min="3857" max="3857" width="4" style="441" customWidth="1"/>
    <col min="3858" max="3858" width="3" style="441" customWidth="1"/>
    <col min="3859" max="3859" width="3.85546875" style="441" customWidth="1"/>
    <col min="3860" max="3860" width="4.42578125" style="441" customWidth="1"/>
    <col min="3861" max="3861" width="3.42578125" style="441" customWidth="1"/>
    <col min="3862" max="3862" width="4.85546875" style="441" customWidth="1"/>
    <col min="3863" max="3863" width="10.5703125" style="441" customWidth="1"/>
    <col min="3864" max="3864" width="7.140625" style="441" customWidth="1"/>
    <col min="3865" max="3865" width="8.140625" style="441" customWidth="1"/>
    <col min="3866" max="3866" width="7.5703125" style="441" customWidth="1"/>
    <col min="3867" max="3868" width="7.640625" style="441" customWidth="1"/>
    <col min="3869" max="3869" width="7.140625" style="441" customWidth="1"/>
    <col min="3870" max="4095" width="9" style="441"/>
    <col min="4096" max="4096" width="4.42578125" style="441" customWidth="1"/>
    <col min="4097" max="4097" width="20.5703125" style="441" customWidth="1"/>
    <col min="4098" max="4098" width="12.42578125" style="441" customWidth="1"/>
    <col min="4099" max="4099" width="12.5703125" style="441" customWidth="1"/>
    <col min="4100" max="4100" width="3.85546875" style="441" customWidth="1"/>
    <col min="4101" max="4102" width="4.140625" style="441" customWidth="1"/>
    <col min="4103" max="4103" width="4" style="441" customWidth="1"/>
    <col min="4104" max="4104" width="16.42578125" style="441" customWidth="1"/>
    <col min="4105" max="4105" width="5.5703125" style="441" customWidth="1"/>
    <col min="4106" max="4106" width="8.640625" style="441" customWidth="1"/>
    <col min="4107" max="4107" width="5.42578125" style="441" customWidth="1"/>
    <col min="4108" max="4108" width="4.42578125" style="441" customWidth="1"/>
    <col min="4109" max="4109" width="4.140625" style="441" customWidth="1"/>
    <col min="4110" max="4110" width="3.140625" style="441" customWidth="1"/>
    <col min="4111" max="4111" width="4.5703125" style="441" customWidth="1"/>
    <col min="4112" max="4112" width="4.42578125" style="441" customWidth="1"/>
    <col min="4113" max="4113" width="4" style="441" customWidth="1"/>
    <col min="4114" max="4114" width="3" style="441" customWidth="1"/>
    <col min="4115" max="4115" width="3.85546875" style="441" customWidth="1"/>
    <col min="4116" max="4116" width="4.42578125" style="441" customWidth="1"/>
    <col min="4117" max="4117" width="3.42578125" style="441" customWidth="1"/>
    <col min="4118" max="4118" width="4.85546875" style="441" customWidth="1"/>
    <col min="4119" max="4119" width="10.5703125" style="441" customWidth="1"/>
    <col min="4120" max="4120" width="7.140625" style="441" customWidth="1"/>
    <col min="4121" max="4121" width="8.140625" style="441" customWidth="1"/>
    <col min="4122" max="4122" width="7.5703125" style="441" customWidth="1"/>
    <col min="4123" max="4124" width="7.640625" style="441" customWidth="1"/>
    <col min="4125" max="4125" width="7.140625" style="441" customWidth="1"/>
    <col min="4126" max="4351" width="9" style="441"/>
    <col min="4352" max="4352" width="4.42578125" style="441" customWidth="1"/>
    <col min="4353" max="4353" width="20.5703125" style="441" customWidth="1"/>
    <col min="4354" max="4354" width="12.42578125" style="441" customWidth="1"/>
    <col min="4355" max="4355" width="12.5703125" style="441" customWidth="1"/>
    <col min="4356" max="4356" width="3.85546875" style="441" customWidth="1"/>
    <col min="4357" max="4358" width="4.140625" style="441" customWidth="1"/>
    <col min="4359" max="4359" width="4" style="441" customWidth="1"/>
    <col min="4360" max="4360" width="16.42578125" style="441" customWidth="1"/>
    <col min="4361" max="4361" width="5.5703125" style="441" customWidth="1"/>
    <col min="4362" max="4362" width="8.640625" style="441" customWidth="1"/>
    <col min="4363" max="4363" width="5.42578125" style="441" customWidth="1"/>
    <col min="4364" max="4364" width="4.42578125" style="441" customWidth="1"/>
    <col min="4365" max="4365" width="4.140625" style="441" customWidth="1"/>
    <col min="4366" max="4366" width="3.140625" style="441" customWidth="1"/>
    <col min="4367" max="4367" width="4.5703125" style="441" customWidth="1"/>
    <col min="4368" max="4368" width="4.42578125" style="441" customWidth="1"/>
    <col min="4369" max="4369" width="4" style="441" customWidth="1"/>
    <col min="4370" max="4370" width="3" style="441" customWidth="1"/>
    <col min="4371" max="4371" width="3.85546875" style="441" customWidth="1"/>
    <col min="4372" max="4372" width="4.42578125" style="441" customWidth="1"/>
    <col min="4373" max="4373" width="3.42578125" style="441" customWidth="1"/>
    <col min="4374" max="4374" width="4.85546875" style="441" customWidth="1"/>
    <col min="4375" max="4375" width="10.5703125" style="441" customWidth="1"/>
    <col min="4376" max="4376" width="7.140625" style="441" customWidth="1"/>
    <col min="4377" max="4377" width="8.140625" style="441" customWidth="1"/>
    <col min="4378" max="4378" width="7.5703125" style="441" customWidth="1"/>
    <col min="4379" max="4380" width="7.640625" style="441" customWidth="1"/>
    <col min="4381" max="4381" width="7.140625" style="441" customWidth="1"/>
    <col min="4382" max="4607" width="9" style="441"/>
    <col min="4608" max="4608" width="4.42578125" style="441" customWidth="1"/>
    <col min="4609" max="4609" width="20.5703125" style="441" customWidth="1"/>
    <col min="4610" max="4610" width="12.42578125" style="441" customWidth="1"/>
    <col min="4611" max="4611" width="12.5703125" style="441" customWidth="1"/>
    <col min="4612" max="4612" width="3.85546875" style="441" customWidth="1"/>
    <col min="4613" max="4614" width="4.140625" style="441" customWidth="1"/>
    <col min="4615" max="4615" width="4" style="441" customWidth="1"/>
    <col min="4616" max="4616" width="16.42578125" style="441" customWidth="1"/>
    <col min="4617" max="4617" width="5.5703125" style="441" customWidth="1"/>
    <col min="4618" max="4618" width="8.640625" style="441" customWidth="1"/>
    <col min="4619" max="4619" width="5.42578125" style="441" customWidth="1"/>
    <col min="4620" max="4620" width="4.42578125" style="441" customWidth="1"/>
    <col min="4621" max="4621" width="4.140625" style="441" customWidth="1"/>
    <col min="4622" max="4622" width="3.140625" style="441" customWidth="1"/>
    <col min="4623" max="4623" width="4.5703125" style="441" customWidth="1"/>
    <col min="4624" max="4624" width="4.42578125" style="441" customWidth="1"/>
    <col min="4625" max="4625" width="4" style="441" customWidth="1"/>
    <col min="4626" max="4626" width="3" style="441" customWidth="1"/>
    <col min="4627" max="4627" width="3.85546875" style="441" customWidth="1"/>
    <col min="4628" max="4628" width="4.42578125" style="441" customWidth="1"/>
    <col min="4629" max="4629" width="3.42578125" style="441" customWidth="1"/>
    <col min="4630" max="4630" width="4.85546875" style="441" customWidth="1"/>
    <col min="4631" max="4631" width="10.5703125" style="441" customWidth="1"/>
    <col min="4632" max="4632" width="7.140625" style="441" customWidth="1"/>
    <col min="4633" max="4633" width="8.140625" style="441" customWidth="1"/>
    <col min="4634" max="4634" width="7.5703125" style="441" customWidth="1"/>
    <col min="4635" max="4636" width="7.640625" style="441" customWidth="1"/>
    <col min="4637" max="4637" width="7.140625" style="441" customWidth="1"/>
    <col min="4638" max="4863" width="9" style="441"/>
    <col min="4864" max="4864" width="4.42578125" style="441" customWidth="1"/>
    <col min="4865" max="4865" width="20.5703125" style="441" customWidth="1"/>
    <col min="4866" max="4866" width="12.42578125" style="441" customWidth="1"/>
    <col min="4867" max="4867" width="12.5703125" style="441" customWidth="1"/>
    <col min="4868" max="4868" width="3.85546875" style="441" customWidth="1"/>
    <col min="4869" max="4870" width="4.140625" style="441" customWidth="1"/>
    <col min="4871" max="4871" width="4" style="441" customWidth="1"/>
    <col min="4872" max="4872" width="16.42578125" style="441" customWidth="1"/>
    <col min="4873" max="4873" width="5.5703125" style="441" customWidth="1"/>
    <col min="4874" max="4874" width="8.640625" style="441" customWidth="1"/>
    <col min="4875" max="4875" width="5.42578125" style="441" customWidth="1"/>
    <col min="4876" max="4876" width="4.42578125" style="441" customWidth="1"/>
    <col min="4877" max="4877" width="4.140625" style="441" customWidth="1"/>
    <col min="4878" max="4878" width="3.140625" style="441" customWidth="1"/>
    <col min="4879" max="4879" width="4.5703125" style="441" customWidth="1"/>
    <col min="4880" max="4880" width="4.42578125" style="441" customWidth="1"/>
    <col min="4881" max="4881" width="4" style="441" customWidth="1"/>
    <col min="4882" max="4882" width="3" style="441" customWidth="1"/>
    <col min="4883" max="4883" width="3.85546875" style="441" customWidth="1"/>
    <col min="4884" max="4884" width="4.42578125" style="441" customWidth="1"/>
    <col min="4885" max="4885" width="3.42578125" style="441" customWidth="1"/>
    <col min="4886" max="4886" width="4.85546875" style="441" customWidth="1"/>
    <col min="4887" max="4887" width="10.5703125" style="441" customWidth="1"/>
    <col min="4888" max="4888" width="7.140625" style="441" customWidth="1"/>
    <col min="4889" max="4889" width="8.140625" style="441" customWidth="1"/>
    <col min="4890" max="4890" width="7.5703125" style="441" customWidth="1"/>
    <col min="4891" max="4892" width="7.640625" style="441" customWidth="1"/>
    <col min="4893" max="4893" width="7.140625" style="441" customWidth="1"/>
    <col min="4894" max="5119" width="9" style="441"/>
    <col min="5120" max="5120" width="4.42578125" style="441" customWidth="1"/>
    <col min="5121" max="5121" width="20.5703125" style="441" customWidth="1"/>
    <col min="5122" max="5122" width="12.42578125" style="441" customWidth="1"/>
    <col min="5123" max="5123" width="12.5703125" style="441" customWidth="1"/>
    <col min="5124" max="5124" width="3.85546875" style="441" customWidth="1"/>
    <col min="5125" max="5126" width="4.140625" style="441" customWidth="1"/>
    <col min="5127" max="5127" width="4" style="441" customWidth="1"/>
    <col min="5128" max="5128" width="16.42578125" style="441" customWidth="1"/>
    <col min="5129" max="5129" width="5.5703125" style="441" customWidth="1"/>
    <col min="5130" max="5130" width="8.640625" style="441" customWidth="1"/>
    <col min="5131" max="5131" width="5.42578125" style="441" customWidth="1"/>
    <col min="5132" max="5132" width="4.42578125" style="441" customWidth="1"/>
    <col min="5133" max="5133" width="4.140625" style="441" customWidth="1"/>
    <col min="5134" max="5134" width="3.140625" style="441" customWidth="1"/>
    <col min="5135" max="5135" width="4.5703125" style="441" customWidth="1"/>
    <col min="5136" max="5136" width="4.42578125" style="441" customWidth="1"/>
    <col min="5137" max="5137" width="4" style="441" customWidth="1"/>
    <col min="5138" max="5138" width="3" style="441" customWidth="1"/>
    <col min="5139" max="5139" width="3.85546875" style="441" customWidth="1"/>
    <col min="5140" max="5140" width="4.42578125" style="441" customWidth="1"/>
    <col min="5141" max="5141" width="3.42578125" style="441" customWidth="1"/>
    <col min="5142" max="5142" width="4.85546875" style="441" customWidth="1"/>
    <col min="5143" max="5143" width="10.5703125" style="441" customWidth="1"/>
    <col min="5144" max="5144" width="7.140625" style="441" customWidth="1"/>
    <col min="5145" max="5145" width="8.140625" style="441" customWidth="1"/>
    <col min="5146" max="5146" width="7.5703125" style="441" customWidth="1"/>
    <col min="5147" max="5148" width="7.640625" style="441" customWidth="1"/>
    <col min="5149" max="5149" width="7.140625" style="441" customWidth="1"/>
    <col min="5150" max="5375" width="9" style="441"/>
    <col min="5376" max="5376" width="4.42578125" style="441" customWidth="1"/>
    <col min="5377" max="5377" width="20.5703125" style="441" customWidth="1"/>
    <col min="5378" max="5378" width="12.42578125" style="441" customWidth="1"/>
    <col min="5379" max="5379" width="12.5703125" style="441" customWidth="1"/>
    <col min="5380" max="5380" width="3.85546875" style="441" customWidth="1"/>
    <col min="5381" max="5382" width="4.140625" style="441" customWidth="1"/>
    <col min="5383" max="5383" width="4" style="441" customWidth="1"/>
    <col min="5384" max="5384" width="16.42578125" style="441" customWidth="1"/>
    <col min="5385" max="5385" width="5.5703125" style="441" customWidth="1"/>
    <col min="5386" max="5386" width="8.640625" style="441" customWidth="1"/>
    <col min="5387" max="5387" width="5.42578125" style="441" customWidth="1"/>
    <col min="5388" max="5388" width="4.42578125" style="441" customWidth="1"/>
    <col min="5389" max="5389" width="4.140625" style="441" customWidth="1"/>
    <col min="5390" max="5390" width="3.140625" style="441" customWidth="1"/>
    <col min="5391" max="5391" width="4.5703125" style="441" customWidth="1"/>
    <col min="5392" max="5392" width="4.42578125" style="441" customWidth="1"/>
    <col min="5393" max="5393" width="4" style="441" customWidth="1"/>
    <col min="5394" max="5394" width="3" style="441" customWidth="1"/>
    <col min="5395" max="5395" width="3.85546875" style="441" customWidth="1"/>
    <col min="5396" max="5396" width="4.42578125" style="441" customWidth="1"/>
    <col min="5397" max="5397" width="3.42578125" style="441" customWidth="1"/>
    <col min="5398" max="5398" width="4.85546875" style="441" customWidth="1"/>
    <col min="5399" max="5399" width="10.5703125" style="441" customWidth="1"/>
    <col min="5400" max="5400" width="7.140625" style="441" customWidth="1"/>
    <col min="5401" max="5401" width="8.140625" style="441" customWidth="1"/>
    <col min="5402" max="5402" width="7.5703125" style="441" customWidth="1"/>
    <col min="5403" max="5404" width="7.640625" style="441" customWidth="1"/>
    <col min="5405" max="5405" width="7.140625" style="441" customWidth="1"/>
    <col min="5406" max="5631" width="9" style="441"/>
    <col min="5632" max="5632" width="4.42578125" style="441" customWidth="1"/>
    <col min="5633" max="5633" width="20.5703125" style="441" customWidth="1"/>
    <col min="5634" max="5634" width="12.42578125" style="441" customWidth="1"/>
    <col min="5635" max="5635" width="12.5703125" style="441" customWidth="1"/>
    <col min="5636" max="5636" width="3.85546875" style="441" customWidth="1"/>
    <col min="5637" max="5638" width="4.140625" style="441" customWidth="1"/>
    <col min="5639" max="5639" width="4" style="441" customWidth="1"/>
    <col min="5640" max="5640" width="16.42578125" style="441" customWidth="1"/>
    <col min="5641" max="5641" width="5.5703125" style="441" customWidth="1"/>
    <col min="5642" max="5642" width="8.640625" style="441" customWidth="1"/>
    <col min="5643" max="5643" width="5.42578125" style="441" customWidth="1"/>
    <col min="5644" max="5644" width="4.42578125" style="441" customWidth="1"/>
    <col min="5645" max="5645" width="4.140625" style="441" customWidth="1"/>
    <col min="5646" max="5646" width="3.140625" style="441" customWidth="1"/>
    <col min="5647" max="5647" width="4.5703125" style="441" customWidth="1"/>
    <col min="5648" max="5648" width="4.42578125" style="441" customWidth="1"/>
    <col min="5649" max="5649" width="4" style="441" customWidth="1"/>
    <col min="5650" max="5650" width="3" style="441" customWidth="1"/>
    <col min="5651" max="5651" width="3.85546875" style="441" customWidth="1"/>
    <col min="5652" max="5652" width="4.42578125" style="441" customWidth="1"/>
    <col min="5653" max="5653" width="3.42578125" style="441" customWidth="1"/>
    <col min="5654" max="5654" width="4.85546875" style="441" customWidth="1"/>
    <col min="5655" max="5655" width="10.5703125" style="441" customWidth="1"/>
    <col min="5656" max="5656" width="7.140625" style="441" customWidth="1"/>
    <col min="5657" max="5657" width="8.140625" style="441" customWidth="1"/>
    <col min="5658" max="5658" width="7.5703125" style="441" customWidth="1"/>
    <col min="5659" max="5660" width="7.640625" style="441" customWidth="1"/>
    <col min="5661" max="5661" width="7.140625" style="441" customWidth="1"/>
    <col min="5662" max="5887" width="9" style="441"/>
    <col min="5888" max="5888" width="4.42578125" style="441" customWidth="1"/>
    <col min="5889" max="5889" width="20.5703125" style="441" customWidth="1"/>
    <col min="5890" max="5890" width="12.42578125" style="441" customWidth="1"/>
    <col min="5891" max="5891" width="12.5703125" style="441" customWidth="1"/>
    <col min="5892" max="5892" width="3.85546875" style="441" customWidth="1"/>
    <col min="5893" max="5894" width="4.140625" style="441" customWidth="1"/>
    <col min="5895" max="5895" width="4" style="441" customWidth="1"/>
    <col min="5896" max="5896" width="16.42578125" style="441" customWidth="1"/>
    <col min="5897" max="5897" width="5.5703125" style="441" customWidth="1"/>
    <col min="5898" max="5898" width="8.640625" style="441" customWidth="1"/>
    <col min="5899" max="5899" width="5.42578125" style="441" customWidth="1"/>
    <col min="5900" max="5900" width="4.42578125" style="441" customWidth="1"/>
    <col min="5901" max="5901" width="4.140625" style="441" customWidth="1"/>
    <col min="5902" max="5902" width="3.140625" style="441" customWidth="1"/>
    <col min="5903" max="5903" width="4.5703125" style="441" customWidth="1"/>
    <col min="5904" max="5904" width="4.42578125" style="441" customWidth="1"/>
    <col min="5905" max="5905" width="4" style="441" customWidth="1"/>
    <col min="5906" max="5906" width="3" style="441" customWidth="1"/>
    <col min="5907" max="5907" width="3.85546875" style="441" customWidth="1"/>
    <col min="5908" max="5908" width="4.42578125" style="441" customWidth="1"/>
    <col min="5909" max="5909" width="3.42578125" style="441" customWidth="1"/>
    <col min="5910" max="5910" width="4.85546875" style="441" customWidth="1"/>
    <col min="5911" max="5911" width="10.5703125" style="441" customWidth="1"/>
    <col min="5912" max="5912" width="7.140625" style="441" customWidth="1"/>
    <col min="5913" max="5913" width="8.140625" style="441" customWidth="1"/>
    <col min="5914" max="5914" width="7.5703125" style="441" customWidth="1"/>
    <col min="5915" max="5916" width="7.640625" style="441" customWidth="1"/>
    <col min="5917" max="5917" width="7.140625" style="441" customWidth="1"/>
    <col min="5918" max="6143" width="9" style="441"/>
    <col min="6144" max="6144" width="4.42578125" style="441" customWidth="1"/>
    <col min="6145" max="6145" width="20.5703125" style="441" customWidth="1"/>
    <col min="6146" max="6146" width="12.42578125" style="441" customWidth="1"/>
    <col min="6147" max="6147" width="12.5703125" style="441" customWidth="1"/>
    <col min="6148" max="6148" width="3.85546875" style="441" customWidth="1"/>
    <col min="6149" max="6150" width="4.140625" style="441" customWidth="1"/>
    <col min="6151" max="6151" width="4" style="441" customWidth="1"/>
    <col min="6152" max="6152" width="16.42578125" style="441" customWidth="1"/>
    <col min="6153" max="6153" width="5.5703125" style="441" customWidth="1"/>
    <col min="6154" max="6154" width="8.640625" style="441" customWidth="1"/>
    <col min="6155" max="6155" width="5.42578125" style="441" customWidth="1"/>
    <col min="6156" max="6156" width="4.42578125" style="441" customWidth="1"/>
    <col min="6157" max="6157" width="4.140625" style="441" customWidth="1"/>
    <col min="6158" max="6158" width="3.140625" style="441" customWidth="1"/>
    <col min="6159" max="6159" width="4.5703125" style="441" customWidth="1"/>
    <col min="6160" max="6160" width="4.42578125" style="441" customWidth="1"/>
    <col min="6161" max="6161" width="4" style="441" customWidth="1"/>
    <col min="6162" max="6162" width="3" style="441" customWidth="1"/>
    <col min="6163" max="6163" width="3.85546875" style="441" customWidth="1"/>
    <col min="6164" max="6164" width="4.42578125" style="441" customWidth="1"/>
    <col min="6165" max="6165" width="3.42578125" style="441" customWidth="1"/>
    <col min="6166" max="6166" width="4.85546875" style="441" customWidth="1"/>
    <col min="6167" max="6167" width="10.5703125" style="441" customWidth="1"/>
    <col min="6168" max="6168" width="7.140625" style="441" customWidth="1"/>
    <col min="6169" max="6169" width="8.140625" style="441" customWidth="1"/>
    <col min="6170" max="6170" width="7.5703125" style="441" customWidth="1"/>
    <col min="6171" max="6172" width="7.640625" style="441" customWidth="1"/>
    <col min="6173" max="6173" width="7.140625" style="441" customWidth="1"/>
    <col min="6174" max="6399" width="9" style="441"/>
    <col min="6400" max="6400" width="4.42578125" style="441" customWidth="1"/>
    <col min="6401" max="6401" width="20.5703125" style="441" customWidth="1"/>
    <col min="6402" max="6402" width="12.42578125" style="441" customWidth="1"/>
    <col min="6403" max="6403" width="12.5703125" style="441" customWidth="1"/>
    <col min="6404" max="6404" width="3.85546875" style="441" customWidth="1"/>
    <col min="6405" max="6406" width="4.140625" style="441" customWidth="1"/>
    <col min="6407" max="6407" width="4" style="441" customWidth="1"/>
    <col min="6408" max="6408" width="16.42578125" style="441" customWidth="1"/>
    <col min="6409" max="6409" width="5.5703125" style="441" customWidth="1"/>
    <col min="6410" max="6410" width="8.640625" style="441" customWidth="1"/>
    <col min="6411" max="6411" width="5.42578125" style="441" customWidth="1"/>
    <col min="6412" max="6412" width="4.42578125" style="441" customWidth="1"/>
    <col min="6413" max="6413" width="4.140625" style="441" customWidth="1"/>
    <col min="6414" max="6414" width="3.140625" style="441" customWidth="1"/>
    <col min="6415" max="6415" width="4.5703125" style="441" customWidth="1"/>
    <col min="6416" max="6416" width="4.42578125" style="441" customWidth="1"/>
    <col min="6417" max="6417" width="4" style="441" customWidth="1"/>
    <col min="6418" max="6418" width="3" style="441" customWidth="1"/>
    <col min="6419" max="6419" width="3.85546875" style="441" customWidth="1"/>
    <col min="6420" max="6420" width="4.42578125" style="441" customWidth="1"/>
    <col min="6421" max="6421" width="3.42578125" style="441" customWidth="1"/>
    <col min="6422" max="6422" width="4.85546875" style="441" customWidth="1"/>
    <col min="6423" max="6423" width="10.5703125" style="441" customWidth="1"/>
    <col min="6424" max="6424" width="7.140625" style="441" customWidth="1"/>
    <col min="6425" max="6425" width="8.140625" style="441" customWidth="1"/>
    <col min="6426" max="6426" width="7.5703125" style="441" customWidth="1"/>
    <col min="6427" max="6428" width="7.640625" style="441" customWidth="1"/>
    <col min="6429" max="6429" width="7.140625" style="441" customWidth="1"/>
    <col min="6430" max="6655" width="9" style="441"/>
    <col min="6656" max="6656" width="4.42578125" style="441" customWidth="1"/>
    <col min="6657" max="6657" width="20.5703125" style="441" customWidth="1"/>
    <col min="6658" max="6658" width="12.42578125" style="441" customWidth="1"/>
    <col min="6659" max="6659" width="12.5703125" style="441" customWidth="1"/>
    <col min="6660" max="6660" width="3.85546875" style="441" customWidth="1"/>
    <col min="6661" max="6662" width="4.140625" style="441" customWidth="1"/>
    <col min="6663" max="6663" width="4" style="441" customWidth="1"/>
    <col min="6664" max="6664" width="16.42578125" style="441" customWidth="1"/>
    <col min="6665" max="6665" width="5.5703125" style="441" customWidth="1"/>
    <col min="6666" max="6666" width="8.640625" style="441" customWidth="1"/>
    <col min="6667" max="6667" width="5.42578125" style="441" customWidth="1"/>
    <col min="6668" max="6668" width="4.42578125" style="441" customWidth="1"/>
    <col min="6669" max="6669" width="4.140625" style="441" customWidth="1"/>
    <col min="6670" max="6670" width="3.140625" style="441" customWidth="1"/>
    <col min="6671" max="6671" width="4.5703125" style="441" customWidth="1"/>
    <col min="6672" max="6672" width="4.42578125" style="441" customWidth="1"/>
    <col min="6673" max="6673" width="4" style="441" customWidth="1"/>
    <col min="6674" max="6674" width="3" style="441" customWidth="1"/>
    <col min="6675" max="6675" width="3.85546875" style="441" customWidth="1"/>
    <col min="6676" max="6676" width="4.42578125" style="441" customWidth="1"/>
    <col min="6677" max="6677" width="3.42578125" style="441" customWidth="1"/>
    <col min="6678" max="6678" width="4.85546875" style="441" customWidth="1"/>
    <col min="6679" max="6679" width="10.5703125" style="441" customWidth="1"/>
    <col min="6680" max="6680" width="7.140625" style="441" customWidth="1"/>
    <col min="6681" max="6681" width="8.140625" style="441" customWidth="1"/>
    <col min="6682" max="6682" width="7.5703125" style="441" customWidth="1"/>
    <col min="6683" max="6684" width="7.640625" style="441" customWidth="1"/>
    <col min="6685" max="6685" width="7.140625" style="441" customWidth="1"/>
    <col min="6686" max="6911" width="9" style="441"/>
    <col min="6912" max="6912" width="4.42578125" style="441" customWidth="1"/>
    <col min="6913" max="6913" width="20.5703125" style="441" customWidth="1"/>
    <col min="6914" max="6914" width="12.42578125" style="441" customWidth="1"/>
    <col min="6915" max="6915" width="12.5703125" style="441" customWidth="1"/>
    <col min="6916" max="6916" width="3.85546875" style="441" customWidth="1"/>
    <col min="6917" max="6918" width="4.140625" style="441" customWidth="1"/>
    <col min="6919" max="6919" width="4" style="441" customWidth="1"/>
    <col min="6920" max="6920" width="16.42578125" style="441" customWidth="1"/>
    <col min="6921" max="6921" width="5.5703125" style="441" customWidth="1"/>
    <col min="6922" max="6922" width="8.640625" style="441" customWidth="1"/>
    <col min="6923" max="6923" width="5.42578125" style="441" customWidth="1"/>
    <col min="6924" max="6924" width="4.42578125" style="441" customWidth="1"/>
    <col min="6925" max="6925" width="4.140625" style="441" customWidth="1"/>
    <col min="6926" max="6926" width="3.140625" style="441" customWidth="1"/>
    <col min="6927" max="6927" width="4.5703125" style="441" customWidth="1"/>
    <col min="6928" max="6928" width="4.42578125" style="441" customWidth="1"/>
    <col min="6929" max="6929" width="4" style="441" customWidth="1"/>
    <col min="6930" max="6930" width="3" style="441" customWidth="1"/>
    <col min="6931" max="6931" width="3.85546875" style="441" customWidth="1"/>
    <col min="6932" max="6932" width="4.42578125" style="441" customWidth="1"/>
    <col min="6933" max="6933" width="3.42578125" style="441" customWidth="1"/>
    <col min="6934" max="6934" width="4.85546875" style="441" customWidth="1"/>
    <col min="6935" max="6935" width="10.5703125" style="441" customWidth="1"/>
    <col min="6936" max="6936" width="7.140625" style="441" customWidth="1"/>
    <col min="6937" max="6937" width="8.140625" style="441" customWidth="1"/>
    <col min="6938" max="6938" width="7.5703125" style="441" customWidth="1"/>
    <col min="6939" max="6940" width="7.640625" style="441" customWidth="1"/>
    <col min="6941" max="6941" width="7.140625" style="441" customWidth="1"/>
    <col min="6942" max="7167" width="9" style="441"/>
    <col min="7168" max="7168" width="4.42578125" style="441" customWidth="1"/>
    <col min="7169" max="7169" width="20.5703125" style="441" customWidth="1"/>
    <col min="7170" max="7170" width="12.42578125" style="441" customWidth="1"/>
    <col min="7171" max="7171" width="12.5703125" style="441" customWidth="1"/>
    <col min="7172" max="7172" width="3.85546875" style="441" customWidth="1"/>
    <col min="7173" max="7174" width="4.140625" style="441" customWidth="1"/>
    <col min="7175" max="7175" width="4" style="441" customWidth="1"/>
    <col min="7176" max="7176" width="16.42578125" style="441" customWidth="1"/>
    <col min="7177" max="7177" width="5.5703125" style="441" customWidth="1"/>
    <col min="7178" max="7178" width="8.640625" style="441" customWidth="1"/>
    <col min="7179" max="7179" width="5.42578125" style="441" customWidth="1"/>
    <col min="7180" max="7180" width="4.42578125" style="441" customWidth="1"/>
    <col min="7181" max="7181" width="4.140625" style="441" customWidth="1"/>
    <col min="7182" max="7182" width="3.140625" style="441" customWidth="1"/>
    <col min="7183" max="7183" width="4.5703125" style="441" customWidth="1"/>
    <col min="7184" max="7184" width="4.42578125" style="441" customWidth="1"/>
    <col min="7185" max="7185" width="4" style="441" customWidth="1"/>
    <col min="7186" max="7186" width="3" style="441" customWidth="1"/>
    <col min="7187" max="7187" width="3.85546875" style="441" customWidth="1"/>
    <col min="7188" max="7188" width="4.42578125" style="441" customWidth="1"/>
    <col min="7189" max="7189" width="3.42578125" style="441" customWidth="1"/>
    <col min="7190" max="7190" width="4.85546875" style="441" customWidth="1"/>
    <col min="7191" max="7191" width="10.5703125" style="441" customWidth="1"/>
    <col min="7192" max="7192" width="7.140625" style="441" customWidth="1"/>
    <col min="7193" max="7193" width="8.140625" style="441" customWidth="1"/>
    <col min="7194" max="7194" width="7.5703125" style="441" customWidth="1"/>
    <col min="7195" max="7196" width="7.640625" style="441" customWidth="1"/>
    <col min="7197" max="7197" width="7.140625" style="441" customWidth="1"/>
    <col min="7198" max="7423" width="9" style="441"/>
    <col min="7424" max="7424" width="4.42578125" style="441" customWidth="1"/>
    <col min="7425" max="7425" width="20.5703125" style="441" customWidth="1"/>
    <col min="7426" max="7426" width="12.42578125" style="441" customWidth="1"/>
    <col min="7427" max="7427" width="12.5703125" style="441" customWidth="1"/>
    <col min="7428" max="7428" width="3.85546875" style="441" customWidth="1"/>
    <col min="7429" max="7430" width="4.140625" style="441" customWidth="1"/>
    <col min="7431" max="7431" width="4" style="441" customWidth="1"/>
    <col min="7432" max="7432" width="16.42578125" style="441" customWidth="1"/>
    <col min="7433" max="7433" width="5.5703125" style="441" customWidth="1"/>
    <col min="7434" max="7434" width="8.640625" style="441" customWidth="1"/>
    <col min="7435" max="7435" width="5.42578125" style="441" customWidth="1"/>
    <col min="7436" max="7436" width="4.42578125" style="441" customWidth="1"/>
    <col min="7437" max="7437" width="4.140625" style="441" customWidth="1"/>
    <col min="7438" max="7438" width="3.140625" style="441" customWidth="1"/>
    <col min="7439" max="7439" width="4.5703125" style="441" customWidth="1"/>
    <col min="7440" max="7440" width="4.42578125" style="441" customWidth="1"/>
    <col min="7441" max="7441" width="4" style="441" customWidth="1"/>
    <col min="7442" max="7442" width="3" style="441" customWidth="1"/>
    <col min="7443" max="7443" width="3.85546875" style="441" customWidth="1"/>
    <col min="7444" max="7444" width="4.42578125" style="441" customWidth="1"/>
    <col min="7445" max="7445" width="3.42578125" style="441" customWidth="1"/>
    <col min="7446" max="7446" width="4.85546875" style="441" customWidth="1"/>
    <col min="7447" max="7447" width="10.5703125" style="441" customWidth="1"/>
    <col min="7448" max="7448" width="7.140625" style="441" customWidth="1"/>
    <col min="7449" max="7449" width="8.140625" style="441" customWidth="1"/>
    <col min="7450" max="7450" width="7.5703125" style="441" customWidth="1"/>
    <col min="7451" max="7452" width="7.640625" style="441" customWidth="1"/>
    <col min="7453" max="7453" width="7.140625" style="441" customWidth="1"/>
    <col min="7454" max="7679" width="9" style="441"/>
    <col min="7680" max="7680" width="4.42578125" style="441" customWidth="1"/>
    <col min="7681" max="7681" width="20.5703125" style="441" customWidth="1"/>
    <col min="7682" max="7682" width="12.42578125" style="441" customWidth="1"/>
    <col min="7683" max="7683" width="12.5703125" style="441" customWidth="1"/>
    <col min="7684" max="7684" width="3.85546875" style="441" customWidth="1"/>
    <col min="7685" max="7686" width="4.140625" style="441" customWidth="1"/>
    <col min="7687" max="7687" width="4" style="441" customWidth="1"/>
    <col min="7688" max="7688" width="16.42578125" style="441" customWidth="1"/>
    <col min="7689" max="7689" width="5.5703125" style="441" customWidth="1"/>
    <col min="7690" max="7690" width="8.640625" style="441" customWidth="1"/>
    <col min="7691" max="7691" width="5.42578125" style="441" customWidth="1"/>
    <col min="7692" max="7692" width="4.42578125" style="441" customWidth="1"/>
    <col min="7693" max="7693" width="4.140625" style="441" customWidth="1"/>
    <col min="7694" max="7694" width="3.140625" style="441" customWidth="1"/>
    <col min="7695" max="7695" width="4.5703125" style="441" customWidth="1"/>
    <col min="7696" max="7696" width="4.42578125" style="441" customWidth="1"/>
    <col min="7697" max="7697" width="4" style="441" customWidth="1"/>
    <col min="7698" max="7698" width="3" style="441" customWidth="1"/>
    <col min="7699" max="7699" width="3.85546875" style="441" customWidth="1"/>
    <col min="7700" max="7700" width="4.42578125" style="441" customWidth="1"/>
    <col min="7701" max="7701" width="3.42578125" style="441" customWidth="1"/>
    <col min="7702" max="7702" width="4.85546875" style="441" customWidth="1"/>
    <col min="7703" max="7703" width="10.5703125" style="441" customWidth="1"/>
    <col min="7704" max="7704" width="7.140625" style="441" customWidth="1"/>
    <col min="7705" max="7705" width="8.140625" style="441" customWidth="1"/>
    <col min="7706" max="7706" width="7.5703125" style="441" customWidth="1"/>
    <col min="7707" max="7708" width="7.640625" style="441" customWidth="1"/>
    <col min="7709" max="7709" width="7.140625" style="441" customWidth="1"/>
    <col min="7710" max="7935" width="9" style="441"/>
    <col min="7936" max="7936" width="4.42578125" style="441" customWidth="1"/>
    <col min="7937" max="7937" width="20.5703125" style="441" customWidth="1"/>
    <col min="7938" max="7938" width="12.42578125" style="441" customWidth="1"/>
    <col min="7939" max="7939" width="12.5703125" style="441" customWidth="1"/>
    <col min="7940" max="7940" width="3.85546875" style="441" customWidth="1"/>
    <col min="7941" max="7942" width="4.140625" style="441" customWidth="1"/>
    <col min="7943" max="7943" width="4" style="441" customWidth="1"/>
    <col min="7944" max="7944" width="16.42578125" style="441" customWidth="1"/>
    <col min="7945" max="7945" width="5.5703125" style="441" customWidth="1"/>
    <col min="7946" max="7946" width="8.640625" style="441" customWidth="1"/>
    <col min="7947" max="7947" width="5.42578125" style="441" customWidth="1"/>
    <col min="7948" max="7948" width="4.42578125" style="441" customWidth="1"/>
    <col min="7949" max="7949" width="4.140625" style="441" customWidth="1"/>
    <col min="7950" max="7950" width="3.140625" style="441" customWidth="1"/>
    <col min="7951" max="7951" width="4.5703125" style="441" customWidth="1"/>
    <col min="7952" max="7952" width="4.42578125" style="441" customWidth="1"/>
    <col min="7953" max="7953" width="4" style="441" customWidth="1"/>
    <col min="7954" max="7954" width="3" style="441" customWidth="1"/>
    <col min="7955" max="7955" width="3.85546875" style="441" customWidth="1"/>
    <col min="7956" max="7956" width="4.42578125" style="441" customWidth="1"/>
    <col min="7957" max="7957" width="3.42578125" style="441" customWidth="1"/>
    <col min="7958" max="7958" width="4.85546875" style="441" customWidth="1"/>
    <col min="7959" max="7959" width="10.5703125" style="441" customWidth="1"/>
    <col min="7960" max="7960" width="7.140625" style="441" customWidth="1"/>
    <col min="7961" max="7961" width="8.140625" style="441" customWidth="1"/>
    <col min="7962" max="7962" width="7.5703125" style="441" customWidth="1"/>
    <col min="7963" max="7964" width="7.640625" style="441" customWidth="1"/>
    <col min="7965" max="7965" width="7.140625" style="441" customWidth="1"/>
    <col min="7966" max="8191" width="9" style="441"/>
    <col min="8192" max="8192" width="4.42578125" style="441" customWidth="1"/>
    <col min="8193" max="8193" width="20.5703125" style="441" customWidth="1"/>
    <col min="8194" max="8194" width="12.42578125" style="441" customWidth="1"/>
    <col min="8195" max="8195" width="12.5703125" style="441" customWidth="1"/>
    <col min="8196" max="8196" width="3.85546875" style="441" customWidth="1"/>
    <col min="8197" max="8198" width="4.140625" style="441" customWidth="1"/>
    <col min="8199" max="8199" width="4" style="441" customWidth="1"/>
    <col min="8200" max="8200" width="16.42578125" style="441" customWidth="1"/>
    <col min="8201" max="8201" width="5.5703125" style="441" customWidth="1"/>
    <col min="8202" max="8202" width="8.640625" style="441" customWidth="1"/>
    <col min="8203" max="8203" width="5.42578125" style="441" customWidth="1"/>
    <col min="8204" max="8204" width="4.42578125" style="441" customWidth="1"/>
    <col min="8205" max="8205" width="4.140625" style="441" customWidth="1"/>
    <col min="8206" max="8206" width="3.140625" style="441" customWidth="1"/>
    <col min="8207" max="8207" width="4.5703125" style="441" customWidth="1"/>
    <col min="8208" max="8208" width="4.42578125" style="441" customWidth="1"/>
    <col min="8209" max="8209" width="4" style="441" customWidth="1"/>
    <col min="8210" max="8210" width="3" style="441" customWidth="1"/>
    <col min="8211" max="8211" width="3.85546875" style="441" customWidth="1"/>
    <col min="8212" max="8212" width="4.42578125" style="441" customWidth="1"/>
    <col min="8213" max="8213" width="3.42578125" style="441" customWidth="1"/>
    <col min="8214" max="8214" width="4.85546875" style="441" customWidth="1"/>
    <col min="8215" max="8215" width="10.5703125" style="441" customWidth="1"/>
    <col min="8216" max="8216" width="7.140625" style="441" customWidth="1"/>
    <col min="8217" max="8217" width="8.140625" style="441" customWidth="1"/>
    <col min="8218" max="8218" width="7.5703125" style="441" customWidth="1"/>
    <col min="8219" max="8220" width="7.640625" style="441" customWidth="1"/>
    <col min="8221" max="8221" width="7.140625" style="441" customWidth="1"/>
    <col min="8222" max="8447" width="9" style="441"/>
    <col min="8448" max="8448" width="4.42578125" style="441" customWidth="1"/>
    <col min="8449" max="8449" width="20.5703125" style="441" customWidth="1"/>
    <col min="8450" max="8450" width="12.42578125" style="441" customWidth="1"/>
    <col min="8451" max="8451" width="12.5703125" style="441" customWidth="1"/>
    <col min="8452" max="8452" width="3.85546875" style="441" customWidth="1"/>
    <col min="8453" max="8454" width="4.140625" style="441" customWidth="1"/>
    <col min="8455" max="8455" width="4" style="441" customWidth="1"/>
    <col min="8456" max="8456" width="16.42578125" style="441" customWidth="1"/>
    <col min="8457" max="8457" width="5.5703125" style="441" customWidth="1"/>
    <col min="8458" max="8458" width="8.640625" style="441" customWidth="1"/>
    <col min="8459" max="8459" width="5.42578125" style="441" customWidth="1"/>
    <col min="8460" max="8460" width="4.42578125" style="441" customWidth="1"/>
    <col min="8461" max="8461" width="4.140625" style="441" customWidth="1"/>
    <col min="8462" max="8462" width="3.140625" style="441" customWidth="1"/>
    <col min="8463" max="8463" width="4.5703125" style="441" customWidth="1"/>
    <col min="8464" max="8464" width="4.42578125" style="441" customWidth="1"/>
    <col min="8465" max="8465" width="4" style="441" customWidth="1"/>
    <col min="8466" max="8466" width="3" style="441" customWidth="1"/>
    <col min="8467" max="8467" width="3.85546875" style="441" customWidth="1"/>
    <col min="8468" max="8468" width="4.42578125" style="441" customWidth="1"/>
    <col min="8469" max="8469" width="3.42578125" style="441" customWidth="1"/>
    <col min="8470" max="8470" width="4.85546875" style="441" customWidth="1"/>
    <col min="8471" max="8471" width="10.5703125" style="441" customWidth="1"/>
    <col min="8472" max="8472" width="7.140625" style="441" customWidth="1"/>
    <col min="8473" max="8473" width="8.140625" style="441" customWidth="1"/>
    <col min="8474" max="8474" width="7.5703125" style="441" customWidth="1"/>
    <col min="8475" max="8476" width="7.640625" style="441" customWidth="1"/>
    <col min="8477" max="8477" width="7.140625" style="441" customWidth="1"/>
    <col min="8478" max="8703" width="9" style="441"/>
    <col min="8704" max="8704" width="4.42578125" style="441" customWidth="1"/>
    <col min="8705" max="8705" width="20.5703125" style="441" customWidth="1"/>
    <col min="8706" max="8706" width="12.42578125" style="441" customWidth="1"/>
    <col min="8707" max="8707" width="12.5703125" style="441" customWidth="1"/>
    <col min="8708" max="8708" width="3.85546875" style="441" customWidth="1"/>
    <col min="8709" max="8710" width="4.140625" style="441" customWidth="1"/>
    <col min="8711" max="8711" width="4" style="441" customWidth="1"/>
    <col min="8712" max="8712" width="16.42578125" style="441" customWidth="1"/>
    <col min="8713" max="8713" width="5.5703125" style="441" customWidth="1"/>
    <col min="8714" max="8714" width="8.640625" style="441" customWidth="1"/>
    <col min="8715" max="8715" width="5.42578125" style="441" customWidth="1"/>
    <col min="8716" max="8716" width="4.42578125" style="441" customWidth="1"/>
    <col min="8717" max="8717" width="4.140625" style="441" customWidth="1"/>
    <col min="8718" max="8718" width="3.140625" style="441" customWidth="1"/>
    <col min="8719" max="8719" width="4.5703125" style="441" customWidth="1"/>
    <col min="8720" max="8720" width="4.42578125" style="441" customWidth="1"/>
    <col min="8721" max="8721" width="4" style="441" customWidth="1"/>
    <col min="8722" max="8722" width="3" style="441" customWidth="1"/>
    <col min="8723" max="8723" width="3.85546875" style="441" customWidth="1"/>
    <col min="8724" max="8724" width="4.42578125" style="441" customWidth="1"/>
    <col min="8725" max="8725" width="3.42578125" style="441" customWidth="1"/>
    <col min="8726" max="8726" width="4.85546875" style="441" customWidth="1"/>
    <col min="8727" max="8727" width="10.5703125" style="441" customWidth="1"/>
    <col min="8728" max="8728" width="7.140625" style="441" customWidth="1"/>
    <col min="8729" max="8729" width="8.140625" style="441" customWidth="1"/>
    <col min="8730" max="8730" width="7.5703125" style="441" customWidth="1"/>
    <col min="8731" max="8732" width="7.640625" style="441" customWidth="1"/>
    <col min="8733" max="8733" width="7.140625" style="441" customWidth="1"/>
    <col min="8734" max="8959" width="9" style="441"/>
    <col min="8960" max="8960" width="4.42578125" style="441" customWidth="1"/>
    <col min="8961" max="8961" width="20.5703125" style="441" customWidth="1"/>
    <col min="8962" max="8962" width="12.42578125" style="441" customWidth="1"/>
    <col min="8963" max="8963" width="12.5703125" style="441" customWidth="1"/>
    <col min="8964" max="8964" width="3.85546875" style="441" customWidth="1"/>
    <col min="8965" max="8966" width="4.140625" style="441" customWidth="1"/>
    <col min="8967" max="8967" width="4" style="441" customWidth="1"/>
    <col min="8968" max="8968" width="16.42578125" style="441" customWidth="1"/>
    <col min="8969" max="8969" width="5.5703125" style="441" customWidth="1"/>
    <col min="8970" max="8970" width="8.640625" style="441" customWidth="1"/>
    <col min="8971" max="8971" width="5.42578125" style="441" customWidth="1"/>
    <col min="8972" max="8972" width="4.42578125" style="441" customWidth="1"/>
    <col min="8973" max="8973" width="4.140625" style="441" customWidth="1"/>
    <col min="8974" max="8974" width="3.140625" style="441" customWidth="1"/>
    <col min="8975" max="8975" width="4.5703125" style="441" customWidth="1"/>
    <col min="8976" max="8976" width="4.42578125" style="441" customWidth="1"/>
    <col min="8977" max="8977" width="4" style="441" customWidth="1"/>
    <col min="8978" max="8978" width="3" style="441" customWidth="1"/>
    <col min="8979" max="8979" width="3.85546875" style="441" customWidth="1"/>
    <col min="8980" max="8980" width="4.42578125" style="441" customWidth="1"/>
    <col min="8981" max="8981" width="3.42578125" style="441" customWidth="1"/>
    <col min="8982" max="8982" width="4.85546875" style="441" customWidth="1"/>
    <col min="8983" max="8983" width="10.5703125" style="441" customWidth="1"/>
    <col min="8984" max="8984" width="7.140625" style="441" customWidth="1"/>
    <col min="8985" max="8985" width="8.140625" style="441" customWidth="1"/>
    <col min="8986" max="8986" width="7.5703125" style="441" customWidth="1"/>
    <col min="8987" max="8988" width="7.640625" style="441" customWidth="1"/>
    <col min="8989" max="8989" width="7.140625" style="441" customWidth="1"/>
    <col min="8990" max="9215" width="9" style="441"/>
    <col min="9216" max="9216" width="4.42578125" style="441" customWidth="1"/>
    <col min="9217" max="9217" width="20.5703125" style="441" customWidth="1"/>
    <col min="9218" max="9218" width="12.42578125" style="441" customWidth="1"/>
    <col min="9219" max="9219" width="12.5703125" style="441" customWidth="1"/>
    <col min="9220" max="9220" width="3.85546875" style="441" customWidth="1"/>
    <col min="9221" max="9222" width="4.140625" style="441" customWidth="1"/>
    <col min="9223" max="9223" width="4" style="441" customWidth="1"/>
    <col min="9224" max="9224" width="16.42578125" style="441" customWidth="1"/>
    <col min="9225" max="9225" width="5.5703125" style="441" customWidth="1"/>
    <col min="9226" max="9226" width="8.640625" style="441" customWidth="1"/>
    <col min="9227" max="9227" width="5.42578125" style="441" customWidth="1"/>
    <col min="9228" max="9228" width="4.42578125" style="441" customWidth="1"/>
    <col min="9229" max="9229" width="4.140625" style="441" customWidth="1"/>
    <col min="9230" max="9230" width="3.140625" style="441" customWidth="1"/>
    <col min="9231" max="9231" width="4.5703125" style="441" customWidth="1"/>
    <col min="9232" max="9232" width="4.42578125" style="441" customWidth="1"/>
    <col min="9233" max="9233" width="4" style="441" customWidth="1"/>
    <col min="9234" max="9234" width="3" style="441" customWidth="1"/>
    <col min="9235" max="9235" width="3.85546875" style="441" customWidth="1"/>
    <col min="9236" max="9236" width="4.42578125" style="441" customWidth="1"/>
    <col min="9237" max="9237" width="3.42578125" style="441" customWidth="1"/>
    <col min="9238" max="9238" width="4.85546875" style="441" customWidth="1"/>
    <col min="9239" max="9239" width="10.5703125" style="441" customWidth="1"/>
    <col min="9240" max="9240" width="7.140625" style="441" customWidth="1"/>
    <col min="9241" max="9241" width="8.140625" style="441" customWidth="1"/>
    <col min="9242" max="9242" width="7.5703125" style="441" customWidth="1"/>
    <col min="9243" max="9244" width="7.640625" style="441" customWidth="1"/>
    <col min="9245" max="9245" width="7.140625" style="441" customWidth="1"/>
    <col min="9246" max="9471" width="9" style="441"/>
    <col min="9472" max="9472" width="4.42578125" style="441" customWidth="1"/>
    <col min="9473" max="9473" width="20.5703125" style="441" customWidth="1"/>
    <col min="9474" max="9474" width="12.42578125" style="441" customWidth="1"/>
    <col min="9475" max="9475" width="12.5703125" style="441" customWidth="1"/>
    <col min="9476" max="9476" width="3.85546875" style="441" customWidth="1"/>
    <col min="9477" max="9478" width="4.140625" style="441" customWidth="1"/>
    <col min="9479" max="9479" width="4" style="441" customWidth="1"/>
    <col min="9480" max="9480" width="16.42578125" style="441" customWidth="1"/>
    <col min="9481" max="9481" width="5.5703125" style="441" customWidth="1"/>
    <col min="9482" max="9482" width="8.640625" style="441" customWidth="1"/>
    <col min="9483" max="9483" width="5.42578125" style="441" customWidth="1"/>
    <col min="9484" max="9484" width="4.42578125" style="441" customWidth="1"/>
    <col min="9485" max="9485" width="4.140625" style="441" customWidth="1"/>
    <col min="9486" max="9486" width="3.140625" style="441" customWidth="1"/>
    <col min="9487" max="9487" width="4.5703125" style="441" customWidth="1"/>
    <col min="9488" max="9488" width="4.42578125" style="441" customWidth="1"/>
    <col min="9489" max="9489" width="4" style="441" customWidth="1"/>
    <col min="9490" max="9490" width="3" style="441" customWidth="1"/>
    <col min="9491" max="9491" width="3.85546875" style="441" customWidth="1"/>
    <col min="9492" max="9492" width="4.42578125" style="441" customWidth="1"/>
    <col min="9493" max="9493" width="3.42578125" style="441" customWidth="1"/>
    <col min="9494" max="9494" width="4.85546875" style="441" customWidth="1"/>
    <col min="9495" max="9495" width="10.5703125" style="441" customWidth="1"/>
    <col min="9496" max="9496" width="7.140625" style="441" customWidth="1"/>
    <col min="9497" max="9497" width="8.140625" style="441" customWidth="1"/>
    <col min="9498" max="9498" width="7.5703125" style="441" customWidth="1"/>
    <col min="9499" max="9500" width="7.640625" style="441" customWidth="1"/>
    <col min="9501" max="9501" width="7.140625" style="441" customWidth="1"/>
    <col min="9502" max="9727" width="9" style="441"/>
    <col min="9728" max="9728" width="4.42578125" style="441" customWidth="1"/>
    <col min="9729" max="9729" width="20.5703125" style="441" customWidth="1"/>
    <col min="9730" max="9730" width="12.42578125" style="441" customWidth="1"/>
    <col min="9731" max="9731" width="12.5703125" style="441" customWidth="1"/>
    <col min="9732" max="9732" width="3.85546875" style="441" customWidth="1"/>
    <col min="9733" max="9734" width="4.140625" style="441" customWidth="1"/>
    <col min="9735" max="9735" width="4" style="441" customWidth="1"/>
    <col min="9736" max="9736" width="16.42578125" style="441" customWidth="1"/>
    <col min="9737" max="9737" width="5.5703125" style="441" customWidth="1"/>
    <col min="9738" max="9738" width="8.640625" style="441" customWidth="1"/>
    <col min="9739" max="9739" width="5.42578125" style="441" customWidth="1"/>
    <col min="9740" max="9740" width="4.42578125" style="441" customWidth="1"/>
    <col min="9741" max="9741" width="4.140625" style="441" customWidth="1"/>
    <col min="9742" max="9742" width="3.140625" style="441" customWidth="1"/>
    <col min="9743" max="9743" width="4.5703125" style="441" customWidth="1"/>
    <col min="9744" max="9744" width="4.42578125" style="441" customWidth="1"/>
    <col min="9745" max="9745" width="4" style="441" customWidth="1"/>
    <col min="9746" max="9746" width="3" style="441" customWidth="1"/>
    <col min="9747" max="9747" width="3.85546875" style="441" customWidth="1"/>
    <col min="9748" max="9748" width="4.42578125" style="441" customWidth="1"/>
    <col min="9749" max="9749" width="3.42578125" style="441" customWidth="1"/>
    <col min="9750" max="9750" width="4.85546875" style="441" customWidth="1"/>
    <col min="9751" max="9751" width="10.5703125" style="441" customWidth="1"/>
    <col min="9752" max="9752" width="7.140625" style="441" customWidth="1"/>
    <col min="9753" max="9753" width="8.140625" style="441" customWidth="1"/>
    <col min="9754" max="9754" width="7.5703125" style="441" customWidth="1"/>
    <col min="9755" max="9756" width="7.640625" style="441" customWidth="1"/>
    <col min="9757" max="9757" width="7.140625" style="441" customWidth="1"/>
    <col min="9758" max="9983" width="9" style="441"/>
    <col min="9984" max="9984" width="4.42578125" style="441" customWidth="1"/>
    <col min="9985" max="9985" width="20.5703125" style="441" customWidth="1"/>
    <col min="9986" max="9986" width="12.42578125" style="441" customWidth="1"/>
    <col min="9987" max="9987" width="12.5703125" style="441" customWidth="1"/>
    <col min="9988" max="9988" width="3.85546875" style="441" customWidth="1"/>
    <col min="9989" max="9990" width="4.140625" style="441" customWidth="1"/>
    <col min="9991" max="9991" width="4" style="441" customWidth="1"/>
    <col min="9992" max="9992" width="16.42578125" style="441" customWidth="1"/>
    <col min="9993" max="9993" width="5.5703125" style="441" customWidth="1"/>
    <col min="9994" max="9994" width="8.640625" style="441" customWidth="1"/>
    <col min="9995" max="9995" width="5.42578125" style="441" customWidth="1"/>
    <col min="9996" max="9996" width="4.42578125" style="441" customWidth="1"/>
    <col min="9997" max="9997" width="4.140625" style="441" customWidth="1"/>
    <col min="9998" max="9998" width="3.140625" style="441" customWidth="1"/>
    <col min="9999" max="9999" width="4.5703125" style="441" customWidth="1"/>
    <col min="10000" max="10000" width="4.42578125" style="441" customWidth="1"/>
    <col min="10001" max="10001" width="4" style="441" customWidth="1"/>
    <col min="10002" max="10002" width="3" style="441" customWidth="1"/>
    <col min="10003" max="10003" width="3.85546875" style="441" customWidth="1"/>
    <col min="10004" max="10004" width="4.42578125" style="441" customWidth="1"/>
    <col min="10005" max="10005" width="3.42578125" style="441" customWidth="1"/>
    <col min="10006" max="10006" width="4.85546875" style="441" customWidth="1"/>
    <col min="10007" max="10007" width="10.5703125" style="441" customWidth="1"/>
    <col min="10008" max="10008" width="7.140625" style="441" customWidth="1"/>
    <col min="10009" max="10009" width="8.140625" style="441" customWidth="1"/>
    <col min="10010" max="10010" width="7.5703125" style="441" customWidth="1"/>
    <col min="10011" max="10012" width="7.640625" style="441" customWidth="1"/>
    <col min="10013" max="10013" width="7.140625" style="441" customWidth="1"/>
    <col min="10014" max="10239" width="9" style="441"/>
    <col min="10240" max="10240" width="4.42578125" style="441" customWidth="1"/>
    <col min="10241" max="10241" width="20.5703125" style="441" customWidth="1"/>
    <col min="10242" max="10242" width="12.42578125" style="441" customWidth="1"/>
    <col min="10243" max="10243" width="12.5703125" style="441" customWidth="1"/>
    <col min="10244" max="10244" width="3.85546875" style="441" customWidth="1"/>
    <col min="10245" max="10246" width="4.140625" style="441" customWidth="1"/>
    <col min="10247" max="10247" width="4" style="441" customWidth="1"/>
    <col min="10248" max="10248" width="16.42578125" style="441" customWidth="1"/>
    <col min="10249" max="10249" width="5.5703125" style="441" customWidth="1"/>
    <col min="10250" max="10250" width="8.640625" style="441" customWidth="1"/>
    <col min="10251" max="10251" width="5.42578125" style="441" customWidth="1"/>
    <col min="10252" max="10252" width="4.42578125" style="441" customWidth="1"/>
    <col min="10253" max="10253" width="4.140625" style="441" customWidth="1"/>
    <col min="10254" max="10254" width="3.140625" style="441" customWidth="1"/>
    <col min="10255" max="10255" width="4.5703125" style="441" customWidth="1"/>
    <col min="10256" max="10256" width="4.42578125" style="441" customWidth="1"/>
    <col min="10257" max="10257" width="4" style="441" customWidth="1"/>
    <col min="10258" max="10258" width="3" style="441" customWidth="1"/>
    <col min="10259" max="10259" width="3.85546875" style="441" customWidth="1"/>
    <col min="10260" max="10260" width="4.42578125" style="441" customWidth="1"/>
    <col min="10261" max="10261" width="3.42578125" style="441" customWidth="1"/>
    <col min="10262" max="10262" width="4.85546875" style="441" customWidth="1"/>
    <col min="10263" max="10263" width="10.5703125" style="441" customWidth="1"/>
    <col min="10264" max="10264" width="7.140625" style="441" customWidth="1"/>
    <col min="10265" max="10265" width="8.140625" style="441" customWidth="1"/>
    <col min="10266" max="10266" width="7.5703125" style="441" customWidth="1"/>
    <col min="10267" max="10268" width="7.640625" style="441" customWidth="1"/>
    <col min="10269" max="10269" width="7.140625" style="441" customWidth="1"/>
    <col min="10270" max="10495" width="9" style="441"/>
    <col min="10496" max="10496" width="4.42578125" style="441" customWidth="1"/>
    <col min="10497" max="10497" width="20.5703125" style="441" customWidth="1"/>
    <col min="10498" max="10498" width="12.42578125" style="441" customWidth="1"/>
    <col min="10499" max="10499" width="12.5703125" style="441" customWidth="1"/>
    <col min="10500" max="10500" width="3.85546875" style="441" customWidth="1"/>
    <col min="10501" max="10502" width="4.140625" style="441" customWidth="1"/>
    <col min="10503" max="10503" width="4" style="441" customWidth="1"/>
    <col min="10504" max="10504" width="16.42578125" style="441" customWidth="1"/>
    <col min="10505" max="10505" width="5.5703125" style="441" customWidth="1"/>
    <col min="10506" max="10506" width="8.640625" style="441" customWidth="1"/>
    <col min="10507" max="10507" width="5.42578125" style="441" customWidth="1"/>
    <col min="10508" max="10508" width="4.42578125" style="441" customWidth="1"/>
    <col min="10509" max="10509" width="4.140625" style="441" customWidth="1"/>
    <col min="10510" max="10510" width="3.140625" style="441" customWidth="1"/>
    <col min="10511" max="10511" width="4.5703125" style="441" customWidth="1"/>
    <col min="10512" max="10512" width="4.42578125" style="441" customWidth="1"/>
    <col min="10513" max="10513" width="4" style="441" customWidth="1"/>
    <col min="10514" max="10514" width="3" style="441" customWidth="1"/>
    <col min="10515" max="10515" width="3.85546875" style="441" customWidth="1"/>
    <col min="10516" max="10516" width="4.42578125" style="441" customWidth="1"/>
    <col min="10517" max="10517" width="3.42578125" style="441" customWidth="1"/>
    <col min="10518" max="10518" width="4.85546875" style="441" customWidth="1"/>
    <col min="10519" max="10519" width="10.5703125" style="441" customWidth="1"/>
    <col min="10520" max="10520" width="7.140625" style="441" customWidth="1"/>
    <col min="10521" max="10521" width="8.140625" style="441" customWidth="1"/>
    <col min="10522" max="10522" width="7.5703125" style="441" customWidth="1"/>
    <col min="10523" max="10524" width="7.640625" style="441" customWidth="1"/>
    <col min="10525" max="10525" width="7.140625" style="441" customWidth="1"/>
    <col min="10526" max="10751" width="9" style="441"/>
    <col min="10752" max="10752" width="4.42578125" style="441" customWidth="1"/>
    <col min="10753" max="10753" width="20.5703125" style="441" customWidth="1"/>
    <col min="10754" max="10754" width="12.42578125" style="441" customWidth="1"/>
    <col min="10755" max="10755" width="12.5703125" style="441" customWidth="1"/>
    <col min="10756" max="10756" width="3.85546875" style="441" customWidth="1"/>
    <col min="10757" max="10758" width="4.140625" style="441" customWidth="1"/>
    <col min="10759" max="10759" width="4" style="441" customWidth="1"/>
    <col min="10760" max="10760" width="16.42578125" style="441" customWidth="1"/>
    <col min="10761" max="10761" width="5.5703125" style="441" customWidth="1"/>
    <col min="10762" max="10762" width="8.640625" style="441" customWidth="1"/>
    <col min="10763" max="10763" width="5.42578125" style="441" customWidth="1"/>
    <col min="10764" max="10764" width="4.42578125" style="441" customWidth="1"/>
    <col min="10765" max="10765" width="4.140625" style="441" customWidth="1"/>
    <col min="10766" max="10766" width="3.140625" style="441" customWidth="1"/>
    <col min="10767" max="10767" width="4.5703125" style="441" customWidth="1"/>
    <col min="10768" max="10768" width="4.42578125" style="441" customWidth="1"/>
    <col min="10769" max="10769" width="4" style="441" customWidth="1"/>
    <col min="10770" max="10770" width="3" style="441" customWidth="1"/>
    <col min="10771" max="10771" width="3.85546875" style="441" customWidth="1"/>
    <col min="10772" max="10772" width="4.42578125" style="441" customWidth="1"/>
    <col min="10773" max="10773" width="3.42578125" style="441" customWidth="1"/>
    <col min="10774" max="10774" width="4.85546875" style="441" customWidth="1"/>
    <col min="10775" max="10775" width="10.5703125" style="441" customWidth="1"/>
    <col min="10776" max="10776" width="7.140625" style="441" customWidth="1"/>
    <col min="10777" max="10777" width="8.140625" style="441" customWidth="1"/>
    <col min="10778" max="10778" width="7.5703125" style="441" customWidth="1"/>
    <col min="10779" max="10780" width="7.640625" style="441" customWidth="1"/>
    <col min="10781" max="10781" width="7.140625" style="441" customWidth="1"/>
    <col min="10782" max="11007" width="9" style="441"/>
    <col min="11008" max="11008" width="4.42578125" style="441" customWidth="1"/>
    <col min="11009" max="11009" width="20.5703125" style="441" customWidth="1"/>
    <col min="11010" max="11010" width="12.42578125" style="441" customWidth="1"/>
    <col min="11011" max="11011" width="12.5703125" style="441" customWidth="1"/>
    <col min="11012" max="11012" width="3.85546875" style="441" customWidth="1"/>
    <col min="11013" max="11014" width="4.140625" style="441" customWidth="1"/>
    <col min="11015" max="11015" width="4" style="441" customWidth="1"/>
    <col min="11016" max="11016" width="16.42578125" style="441" customWidth="1"/>
    <col min="11017" max="11017" width="5.5703125" style="441" customWidth="1"/>
    <col min="11018" max="11018" width="8.640625" style="441" customWidth="1"/>
    <col min="11019" max="11019" width="5.42578125" style="441" customWidth="1"/>
    <col min="11020" max="11020" width="4.42578125" style="441" customWidth="1"/>
    <col min="11021" max="11021" width="4.140625" style="441" customWidth="1"/>
    <col min="11022" max="11022" width="3.140625" style="441" customWidth="1"/>
    <col min="11023" max="11023" width="4.5703125" style="441" customWidth="1"/>
    <col min="11024" max="11024" width="4.42578125" style="441" customWidth="1"/>
    <col min="11025" max="11025" width="4" style="441" customWidth="1"/>
    <col min="11026" max="11026" width="3" style="441" customWidth="1"/>
    <col min="11027" max="11027" width="3.85546875" style="441" customWidth="1"/>
    <col min="11028" max="11028" width="4.42578125" style="441" customWidth="1"/>
    <col min="11029" max="11029" width="3.42578125" style="441" customWidth="1"/>
    <col min="11030" max="11030" width="4.85546875" style="441" customWidth="1"/>
    <col min="11031" max="11031" width="10.5703125" style="441" customWidth="1"/>
    <col min="11032" max="11032" width="7.140625" style="441" customWidth="1"/>
    <col min="11033" max="11033" width="8.140625" style="441" customWidth="1"/>
    <col min="11034" max="11034" width="7.5703125" style="441" customWidth="1"/>
    <col min="11035" max="11036" width="7.640625" style="441" customWidth="1"/>
    <col min="11037" max="11037" width="7.140625" style="441" customWidth="1"/>
    <col min="11038" max="11263" width="9" style="441"/>
    <col min="11264" max="11264" width="4.42578125" style="441" customWidth="1"/>
    <col min="11265" max="11265" width="20.5703125" style="441" customWidth="1"/>
    <col min="11266" max="11266" width="12.42578125" style="441" customWidth="1"/>
    <col min="11267" max="11267" width="12.5703125" style="441" customWidth="1"/>
    <col min="11268" max="11268" width="3.85546875" style="441" customWidth="1"/>
    <col min="11269" max="11270" width="4.140625" style="441" customWidth="1"/>
    <col min="11271" max="11271" width="4" style="441" customWidth="1"/>
    <col min="11272" max="11272" width="16.42578125" style="441" customWidth="1"/>
    <col min="11273" max="11273" width="5.5703125" style="441" customWidth="1"/>
    <col min="11274" max="11274" width="8.640625" style="441" customWidth="1"/>
    <col min="11275" max="11275" width="5.42578125" style="441" customWidth="1"/>
    <col min="11276" max="11276" width="4.42578125" style="441" customWidth="1"/>
    <col min="11277" max="11277" width="4.140625" style="441" customWidth="1"/>
    <col min="11278" max="11278" width="3.140625" style="441" customWidth="1"/>
    <col min="11279" max="11279" width="4.5703125" style="441" customWidth="1"/>
    <col min="11280" max="11280" width="4.42578125" style="441" customWidth="1"/>
    <col min="11281" max="11281" width="4" style="441" customWidth="1"/>
    <col min="11282" max="11282" width="3" style="441" customWidth="1"/>
    <col min="11283" max="11283" width="3.85546875" style="441" customWidth="1"/>
    <col min="11284" max="11284" width="4.42578125" style="441" customWidth="1"/>
    <col min="11285" max="11285" width="3.42578125" style="441" customWidth="1"/>
    <col min="11286" max="11286" width="4.85546875" style="441" customWidth="1"/>
    <col min="11287" max="11287" width="10.5703125" style="441" customWidth="1"/>
    <col min="11288" max="11288" width="7.140625" style="441" customWidth="1"/>
    <col min="11289" max="11289" width="8.140625" style="441" customWidth="1"/>
    <col min="11290" max="11290" width="7.5703125" style="441" customWidth="1"/>
    <col min="11291" max="11292" width="7.640625" style="441" customWidth="1"/>
    <col min="11293" max="11293" width="7.140625" style="441" customWidth="1"/>
    <col min="11294" max="11519" width="9" style="441"/>
    <col min="11520" max="11520" width="4.42578125" style="441" customWidth="1"/>
    <col min="11521" max="11521" width="20.5703125" style="441" customWidth="1"/>
    <col min="11522" max="11522" width="12.42578125" style="441" customWidth="1"/>
    <col min="11523" max="11523" width="12.5703125" style="441" customWidth="1"/>
    <col min="11524" max="11524" width="3.85546875" style="441" customWidth="1"/>
    <col min="11525" max="11526" width="4.140625" style="441" customWidth="1"/>
    <col min="11527" max="11527" width="4" style="441" customWidth="1"/>
    <col min="11528" max="11528" width="16.42578125" style="441" customWidth="1"/>
    <col min="11529" max="11529" width="5.5703125" style="441" customWidth="1"/>
    <col min="11530" max="11530" width="8.640625" style="441" customWidth="1"/>
    <col min="11531" max="11531" width="5.42578125" style="441" customWidth="1"/>
    <col min="11532" max="11532" width="4.42578125" style="441" customWidth="1"/>
    <col min="11533" max="11533" width="4.140625" style="441" customWidth="1"/>
    <col min="11534" max="11534" width="3.140625" style="441" customWidth="1"/>
    <col min="11535" max="11535" width="4.5703125" style="441" customWidth="1"/>
    <col min="11536" max="11536" width="4.42578125" style="441" customWidth="1"/>
    <col min="11537" max="11537" width="4" style="441" customWidth="1"/>
    <col min="11538" max="11538" width="3" style="441" customWidth="1"/>
    <col min="11539" max="11539" width="3.85546875" style="441" customWidth="1"/>
    <col min="11540" max="11540" width="4.42578125" style="441" customWidth="1"/>
    <col min="11541" max="11541" width="3.42578125" style="441" customWidth="1"/>
    <col min="11542" max="11542" width="4.85546875" style="441" customWidth="1"/>
    <col min="11543" max="11543" width="10.5703125" style="441" customWidth="1"/>
    <col min="11544" max="11544" width="7.140625" style="441" customWidth="1"/>
    <col min="11545" max="11545" width="8.140625" style="441" customWidth="1"/>
    <col min="11546" max="11546" width="7.5703125" style="441" customWidth="1"/>
    <col min="11547" max="11548" width="7.640625" style="441" customWidth="1"/>
    <col min="11549" max="11549" width="7.140625" style="441" customWidth="1"/>
    <col min="11550" max="11775" width="9" style="441"/>
    <col min="11776" max="11776" width="4.42578125" style="441" customWidth="1"/>
    <col min="11777" max="11777" width="20.5703125" style="441" customWidth="1"/>
    <col min="11778" max="11778" width="12.42578125" style="441" customWidth="1"/>
    <col min="11779" max="11779" width="12.5703125" style="441" customWidth="1"/>
    <col min="11780" max="11780" width="3.85546875" style="441" customWidth="1"/>
    <col min="11781" max="11782" width="4.140625" style="441" customWidth="1"/>
    <col min="11783" max="11783" width="4" style="441" customWidth="1"/>
    <col min="11784" max="11784" width="16.42578125" style="441" customWidth="1"/>
    <col min="11785" max="11785" width="5.5703125" style="441" customWidth="1"/>
    <col min="11786" max="11786" width="8.640625" style="441" customWidth="1"/>
    <col min="11787" max="11787" width="5.42578125" style="441" customWidth="1"/>
    <col min="11788" max="11788" width="4.42578125" style="441" customWidth="1"/>
    <col min="11789" max="11789" width="4.140625" style="441" customWidth="1"/>
    <col min="11790" max="11790" width="3.140625" style="441" customWidth="1"/>
    <col min="11791" max="11791" width="4.5703125" style="441" customWidth="1"/>
    <col min="11792" max="11792" width="4.42578125" style="441" customWidth="1"/>
    <col min="11793" max="11793" width="4" style="441" customWidth="1"/>
    <col min="11794" max="11794" width="3" style="441" customWidth="1"/>
    <col min="11795" max="11795" width="3.85546875" style="441" customWidth="1"/>
    <col min="11796" max="11796" width="4.42578125" style="441" customWidth="1"/>
    <col min="11797" max="11797" width="3.42578125" style="441" customWidth="1"/>
    <col min="11798" max="11798" width="4.85546875" style="441" customWidth="1"/>
    <col min="11799" max="11799" width="10.5703125" style="441" customWidth="1"/>
    <col min="11800" max="11800" width="7.140625" style="441" customWidth="1"/>
    <col min="11801" max="11801" width="8.140625" style="441" customWidth="1"/>
    <col min="11802" max="11802" width="7.5703125" style="441" customWidth="1"/>
    <col min="11803" max="11804" width="7.640625" style="441" customWidth="1"/>
    <col min="11805" max="11805" width="7.140625" style="441" customWidth="1"/>
    <col min="11806" max="12031" width="9" style="441"/>
    <col min="12032" max="12032" width="4.42578125" style="441" customWidth="1"/>
    <col min="12033" max="12033" width="20.5703125" style="441" customWidth="1"/>
    <col min="12034" max="12034" width="12.42578125" style="441" customWidth="1"/>
    <col min="12035" max="12035" width="12.5703125" style="441" customWidth="1"/>
    <col min="12036" max="12036" width="3.85546875" style="441" customWidth="1"/>
    <col min="12037" max="12038" width="4.140625" style="441" customWidth="1"/>
    <col min="12039" max="12039" width="4" style="441" customWidth="1"/>
    <col min="12040" max="12040" width="16.42578125" style="441" customWidth="1"/>
    <col min="12041" max="12041" width="5.5703125" style="441" customWidth="1"/>
    <col min="12042" max="12042" width="8.640625" style="441" customWidth="1"/>
    <col min="12043" max="12043" width="5.42578125" style="441" customWidth="1"/>
    <col min="12044" max="12044" width="4.42578125" style="441" customWidth="1"/>
    <col min="12045" max="12045" width="4.140625" style="441" customWidth="1"/>
    <col min="12046" max="12046" width="3.140625" style="441" customWidth="1"/>
    <col min="12047" max="12047" width="4.5703125" style="441" customWidth="1"/>
    <col min="12048" max="12048" width="4.42578125" style="441" customWidth="1"/>
    <col min="12049" max="12049" width="4" style="441" customWidth="1"/>
    <col min="12050" max="12050" width="3" style="441" customWidth="1"/>
    <col min="12051" max="12051" width="3.85546875" style="441" customWidth="1"/>
    <col min="12052" max="12052" width="4.42578125" style="441" customWidth="1"/>
    <col min="12053" max="12053" width="3.42578125" style="441" customWidth="1"/>
    <col min="12054" max="12054" width="4.85546875" style="441" customWidth="1"/>
    <col min="12055" max="12055" width="10.5703125" style="441" customWidth="1"/>
    <col min="12056" max="12056" width="7.140625" style="441" customWidth="1"/>
    <col min="12057" max="12057" width="8.140625" style="441" customWidth="1"/>
    <col min="12058" max="12058" width="7.5703125" style="441" customWidth="1"/>
    <col min="12059" max="12060" width="7.640625" style="441" customWidth="1"/>
    <col min="12061" max="12061" width="7.140625" style="441" customWidth="1"/>
    <col min="12062" max="12287" width="9" style="441"/>
    <col min="12288" max="12288" width="4.42578125" style="441" customWidth="1"/>
    <col min="12289" max="12289" width="20.5703125" style="441" customWidth="1"/>
    <col min="12290" max="12290" width="12.42578125" style="441" customWidth="1"/>
    <col min="12291" max="12291" width="12.5703125" style="441" customWidth="1"/>
    <col min="12292" max="12292" width="3.85546875" style="441" customWidth="1"/>
    <col min="12293" max="12294" width="4.140625" style="441" customWidth="1"/>
    <col min="12295" max="12295" width="4" style="441" customWidth="1"/>
    <col min="12296" max="12296" width="16.42578125" style="441" customWidth="1"/>
    <col min="12297" max="12297" width="5.5703125" style="441" customWidth="1"/>
    <col min="12298" max="12298" width="8.640625" style="441" customWidth="1"/>
    <col min="12299" max="12299" width="5.42578125" style="441" customWidth="1"/>
    <col min="12300" max="12300" width="4.42578125" style="441" customWidth="1"/>
    <col min="12301" max="12301" width="4.140625" style="441" customWidth="1"/>
    <col min="12302" max="12302" width="3.140625" style="441" customWidth="1"/>
    <col min="12303" max="12303" width="4.5703125" style="441" customWidth="1"/>
    <col min="12304" max="12304" width="4.42578125" style="441" customWidth="1"/>
    <col min="12305" max="12305" width="4" style="441" customWidth="1"/>
    <col min="12306" max="12306" width="3" style="441" customWidth="1"/>
    <col min="12307" max="12307" width="3.85546875" style="441" customWidth="1"/>
    <col min="12308" max="12308" width="4.42578125" style="441" customWidth="1"/>
    <col min="12309" max="12309" width="3.42578125" style="441" customWidth="1"/>
    <col min="12310" max="12310" width="4.85546875" style="441" customWidth="1"/>
    <col min="12311" max="12311" width="10.5703125" style="441" customWidth="1"/>
    <col min="12312" max="12312" width="7.140625" style="441" customWidth="1"/>
    <col min="12313" max="12313" width="8.140625" style="441" customWidth="1"/>
    <col min="12314" max="12314" width="7.5703125" style="441" customWidth="1"/>
    <col min="12315" max="12316" width="7.640625" style="441" customWidth="1"/>
    <col min="12317" max="12317" width="7.140625" style="441" customWidth="1"/>
    <col min="12318" max="12543" width="9" style="441"/>
    <col min="12544" max="12544" width="4.42578125" style="441" customWidth="1"/>
    <col min="12545" max="12545" width="20.5703125" style="441" customWidth="1"/>
    <col min="12546" max="12546" width="12.42578125" style="441" customWidth="1"/>
    <col min="12547" max="12547" width="12.5703125" style="441" customWidth="1"/>
    <col min="12548" max="12548" width="3.85546875" style="441" customWidth="1"/>
    <col min="12549" max="12550" width="4.140625" style="441" customWidth="1"/>
    <col min="12551" max="12551" width="4" style="441" customWidth="1"/>
    <col min="12552" max="12552" width="16.42578125" style="441" customWidth="1"/>
    <col min="12553" max="12553" width="5.5703125" style="441" customWidth="1"/>
    <col min="12554" max="12554" width="8.640625" style="441" customWidth="1"/>
    <col min="12555" max="12555" width="5.42578125" style="441" customWidth="1"/>
    <col min="12556" max="12556" width="4.42578125" style="441" customWidth="1"/>
    <col min="12557" max="12557" width="4.140625" style="441" customWidth="1"/>
    <col min="12558" max="12558" width="3.140625" style="441" customWidth="1"/>
    <col min="12559" max="12559" width="4.5703125" style="441" customWidth="1"/>
    <col min="12560" max="12560" width="4.42578125" style="441" customWidth="1"/>
    <col min="12561" max="12561" width="4" style="441" customWidth="1"/>
    <col min="12562" max="12562" width="3" style="441" customWidth="1"/>
    <col min="12563" max="12563" width="3.85546875" style="441" customWidth="1"/>
    <col min="12564" max="12564" width="4.42578125" style="441" customWidth="1"/>
    <col min="12565" max="12565" width="3.42578125" style="441" customWidth="1"/>
    <col min="12566" max="12566" width="4.85546875" style="441" customWidth="1"/>
    <col min="12567" max="12567" width="10.5703125" style="441" customWidth="1"/>
    <col min="12568" max="12568" width="7.140625" style="441" customWidth="1"/>
    <col min="12569" max="12569" width="8.140625" style="441" customWidth="1"/>
    <col min="12570" max="12570" width="7.5703125" style="441" customWidth="1"/>
    <col min="12571" max="12572" width="7.640625" style="441" customWidth="1"/>
    <col min="12573" max="12573" width="7.140625" style="441" customWidth="1"/>
    <col min="12574" max="12799" width="9" style="441"/>
    <col min="12800" max="12800" width="4.42578125" style="441" customWidth="1"/>
    <col min="12801" max="12801" width="20.5703125" style="441" customWidth="1"/>
    <col min="12802" max="12802" width="12.42578125" style="441" customWidth="1"/>
    <col min="12803" max="12803" width="12.5703125" style="441" customWidth="1"/>
    <col min="12804" max="12804" width="3.85546875" style="441" customWidth="1"/>
    <col min="12805" max="12806" width="4.140625" style="441" customWidth="1"/>
    <col min="12807" max="12807" width="4" style="441" customWidth="1"/>
    <col min="12808" max="12808" width="16.42578125" style="441" customWidth="1"/>
    <col min="12809" max="12809" width="5.5703125" style="441" customWidth="1"/>
    <col min="12810" max="12810" width="8.640625" style="441" customWidth="1"/>
    <col min="12811" max="12811" width="5.42578125" style="441" customWidth="1"/>
    <col min="12812" max="12812" width="4.42578125" style="441" customWidth="1"/>
    <col min="12813" max="12813" width="4.140625" style="441" customWidth="1"/>
    <col min="12814" max="12814" width="3.140625" style="441" customWidth="1"/>
    <col min="12815" max="12815" width="4.5703125" style="441" customWidth="1"/>
    <col min="12816" max="12816" width="4.42578125" style="441" customWidth="1"/>
    <col min="12817" max="12817" width="4" style="441" customWidth="1"/>
    <col min="12818" max="12818" width="3" style="441" customWidth="1"/>
    <col min="12819" max="12819" width="3.85546875" style="441" customWidth="1"/>
    <col min="12820" max="12820" width="4.42578125" style="441" customWidth="1"/>
    <col min="12821" max="12821" width="3.42578125" style="441" customWidth="1"/>
    <col min="12822" max="12822" width="4.85546875" style="441" customWidth="1"/>
    <col min="12823" max="12823" width="10.5703125" style="441" customWidth="1"/>
    <col min="12824" max="12824" width="7.140625" style="441" customWidth="1"/>
    <col min="12825" max="12825" width="8.140625" style="441" customWidth="1"/>
    <col min="12826" max="12826" width="7.5703125" style="441" customWidth="1"/>
    <col min="12827" max="12828" width="7.640625" style="441" customWidth="1"/>
    <col min="12829" max="12829" width="7.140625" style="441" customWidth="1"/>
    <col min="12830" max="13055" width="9" style="441"/>
    <col min="13056" max="13056" width="4.42578125" style="441" customWidth="1"/>
    <col min="13057" max="13057" width="20.5703125" style="441" customWidth="1"/>
    <col min="13058" max="13058" width="12.42578125" style="441" customWidth="1"/>
    <col min="13059" max="13059" width="12.5703125" style="441" customWidth="1"/>
    <col min="13060" max="13060" width="3.85546875" style="441" customWidth="1"/>
    <col min="13061" max="13062" width="4.140625" style="441" customWidth="1"/>
    <col min="13063" max="13063" width="4" style="441" customWidth="1"/>
    <col min="13064" max="13064" width="16.42578125" style="441" customWidth="1"/>
    <col min="13065" max="13065" width="5.5703125" style="441" customWidth="1"/>
    <col min="13066" max="13066" width="8.640625" style="441" customWidth="1"/>
    <col min="13067" max="13067" width="5.42578125" style="441" customWidth="1"/>
    <col min="13068" max="13068" width="4.42578125" style="441" customWidth="1"/>
    <col min="13069" max="13069" width="4.140625" style="441" customWidth="1"/>
    <col min="13070" max="13070" width="3.140625" style="441" customWidth="1"/>
    <col min="13071" max="13071" width="4.5703125" style="441" customWidth="1"/>
    <col min="13072" max="13072" width="4.42578125" style="441" customWidth="1"/>
    <col min="13073" max="13073" width="4" style="441" customWidth="1"/>
    <col min="13074" max="13074" width="3" style="441" customWidth="1"/>
    <col min="13075" max="13075" width="3.85546875" style="441" customWidth="1"/>
    <col min="13076" max="13076" width="4.42578125" style="441" customWidth="1"/>
    <col min="13077" max="13077" width="3.42578125" style="441" customWidth="1"/>
    <col min="13078" max="13078" width="4.85546875" style="441" customWidth="1"/>
    <col min="13079" max="13079" width="10.5703125" style="441" customWidth="1"/>
    <col min="13080" max="13080" width="7.140625" style="441" customWidth="1"/>
    <col min="13081" max="13081" width="8.140625" style="441" customWidth="1"/>
    <col min="13082" max="13082" width="7.5703125" style="441" customWidth="1"/>
    <col min="13083" max="13084" width="7.640625" style="441" customWidth="1"/>
    <col min="13085" max="13085" width="7.140625" style="441" customWidth="1"/>
    <col min="13086" max="13311" width="9" style="441"/>
    <col min="13312" max="13312" width="4.42578125" style="441" customWidth="1"/>
    <col min="13313" max="13313" width="20.5703125" style="441" customWidth="1"/>
    <col min="13314" max="13314" width="12.42578125" style="441" customWidth="1"/>
    <col min="13315" max="13315" width="12.5703125" style="441" customWidth="1"/>
    <col min="13316" max="13316" width="3.85546875" style="441" customWidth="1"/>
    <col min="13317" max="13318" width="4.140625" style="441" customWidth="1"/>
    <col min="13319" max="13319" width="4" style="441" customWidth="1"/>
    <col min="13320" max="13320" width="16.42578125" style="441" customWidth="1"/>
    <col min="13321" max="13321" width="5.5703125" style="441" customWidth="1"/>
    <col min="13322" max="13322" width="8.640625" style="441" customWidth="1"/>
    <col min="13323" max="13323" width="5.42578125" style="441" customWidth="1"/>
    <col min="13324" max="13324" width="4.42578125" style="441" customWidth="1"/>
    <col min="13325" max="13325" width="4.140625" style="441" customWidth="1"/>
    <col min="13326" max="13326" width="3.140625" style="441" customWidth="1"/>
    <col min="13327" max="13327" width="4.5703125" style="441" customWidth="1"/>
    <col min="13328" max="13328" width="4.42578125" style="441" customWidth="1"/>
    <col min="13329" max="13329" width="4" style="441" customWidth="1"/>
    <col min="13330" max="13330" width="3" style="441" customWidth="1"/>
    <col min="13331" max="13331" width="3.85546875" style="441" customWidth="1"/>
    <col min="13332" max="13332" width="4.42578125" style="441" customWidth="1"/>
    <col min="13333" max="13333" width="3.42578125" style="441" customWidth="1"/>
    <col min="13334" max="13334" width="4.85546875" style="441" customWidth="1"/>
    <col min="13335" max="13335" width="10.5703125" style="441" customWidth="1"/>
    <col min="13336" max="13336" width="7.140625" style="441" customWidth="1"/>
    <col min="13337" max="13337" width="8.140625" style="441" customWidth="1"/>
    <col min="13338" max="13338" width="7.5703125" style="441" customWidth="1"/>
    <col min="13339" max="13340" width="7.640625" style="441" customWidth="1"/>
    <col min="13341" max="13341" width="7.140625" style="441" customWidth="1"/>
    <col min="13342" max="13567" width="9" style="441"/>
    <col min="13568" max="13568" width="4.42578125" style="441" customWidth="1"/>
    <col min="13569" max="13569" width="20.5703125" style="441" customWidth="1"/>
    <col min="13570" max="13570" width="12.42578125" style="441" customWidth="1"/>
    <col min="13571" max="13571" width="12.5703125" style="441" customWidth="1"/>
    <col min="13572" max="13572" width="3.85546875" style="441" customWidth="1"/>
    <col min="13573" max="13574" width="4.140625" style="441" customWidth="1"/>
    <col min="13575" max="13575" width="4" style="441" customWidth="1"/>
    <col min="13576" max="13576" width="16.42578125" style="441" customWidth="1"/>
    <col min="13577" max="13577" width="5.5703125" style="441" customWidth="1"/>
    <col min="13578" max="13578" width="8.640625" style="441" customWidth="1"/>
    <col min="13579" max="13579" width="5.42578125" style="441" customWidth="1"/>
    <col min="13580" max="13580" width="4.42578125" style="441" customWidth="1"/>
    <col min="13581" max="13581" width="4.140625" style="441" customWidth="1"/>
    <col min="13582" max="13582" width="3.140625" style="441" customWidth="1"/>
    <col min="13583" max="13583" width="4.5703125" style="441" customWidth="1"/>
    <col min="13584" max="13584" width="4.42578125" style="441" customWidth="1"/>
    <col min="13585" max="13585" width="4" style="441" customWidth="1"/>
    <col min="13586" max="13586" width="3" style="441" customWidth="1"/>
    <col min="13587" max="13587" width="3.85546875" style="441" customWidth="1"/>
    <col min="13588" max="13588" width="4.42578125" style="441" customWidth="1"/>
    <col min="13589" max="13589" width="3.42578125" style="441" customWidth="1"/>
    <col min="13590" max="13590" width="4.85546875" style="441" customWidth="1"/>
    <col min="13591" max="13591" width="10.5703125" style="441" customWidth="1"/>
    <col min="13592" max="13592" width="7.140625" style="441" customWidth="1"/>
    <col min="13593" max="13593" width="8.140625" style="441" customWidth="1"/>
    <col min="13594" max="13594" width="7.5703125" style="441" customWidth="1"/>
    <col min="13595" max="13596" width="7.640625" style="441" customWidth="1"/>
    <col min="13597" max="13597" width="7.140625" style="441" customWidth="1"/>
    <col min="13598" max="13823" width="9" style="441"/>
    <col min="13824" max="13824" width="4.42578125" style="441" customWidth="1"/>
    <col min="13825" max="13825" width="20.5703125" style="441" customWidth="1"/>
    <col min="13826" max="13826" width="12.42578125" style="441" customWidth="1"/>
    <col min="13827" max="13827" width="12.5703125" style="441" customWidth="1"/>
    <col min="13828" max="13828" width="3.85546875" style="441" customWidth="1"/>
    <col min="13829" max="13830" width="4.140625" style="441" customWidth="1"/>
    <col min="13831" max="13831" width="4" style="441" customWidth="1"/>
    <col min="13832" max="13832" width="16.42578125" style="441" customWidth="1"/>
    <col min="13833" max="13833" width="5.5703125" style="441" customWidth="1"/>
    <col min="13834" max="13834" width="8.640625" style="441" customWidth="1"/>
    <col min="13835" max="13835" width="5.42578125" style="441" customWidth="1"/>
    <col min="13836" max="13836" width="4.42578125" style="441" customWidth="1"/>
    <col min="13837" max="13837" width="4.140625" style="441" customWidth="1"/>
    <col min="13838" max="13838" width="3.140625" style="441" customWidth="1"/>
    <col min="13839" max="13839" width="4.5703125" style="441" customWidth="1"/>
    <col min="13840" max="13840" width="4.42578125" style="441" customWidth="1"/>
    <col min="13841" max="13841" width="4" style="441" customWidth="1"/>
    <col min="13842" max="13842" width="3" style="441" customWidth="1"/>
    <col min="13843" max="13843" width="3.85546875" style="441" customWidth="1"/>
    <col min="13844" max="13844" width="4.42578125" style="441" customWidth="1"/>
    <col min="13845" max="13845" width="3.42578125" style="441" customWidth="1"/>
    <col min="13846" max="13846" width="4.85546875" style="441" customWidth="1"/>
    <col min="13847" max="13847" width="10.5703125" style="441" customWidth="1"/>
    <col min="13848" max="13848" width="7.140625" style="441" customWidth="1"/>
    <col min="13849" max="13849" width="8.140625" style="441" customWidth="1"/>
    <col min="13850" max="13850" width="7.5703125" style="441" customWidth="1"/>
    <col min="13851" max="13852" width="7.640625" style="441" customWidth="1"/>
    <col min="13853" max="13853" width="7.140625" style="441" customWidth="1"/>
    <col min="13854" max="14079" width="9" style="441"/>
    <col min="14080" max="14080" width="4.42578125" style="441" customWidth="1"/>
    <col min="14081" max="14081" width="20.5703125" style="441" customWidth="1"/>
    <col min="14082" max="14082" width="12.42578125" style="441" customWidth="1"/>
    <col min="14083" max="14083" width="12.5703125" style="441" customWidth="1"/>
    <col min="14084" max="14084" width="3.85546875" style="441" customWidth="1"/>
    <col min="14085" max="14086" width="4.140625" style="441" customWidth="1"/>
    <col min="14087" max="14087" width="4" style="441" customWidth="1"/>
    <col min="14088" max="14088" width="16.42578125" style="441" customWidth="1"/>
    <col min="14089" max="14089" width="5.5703125" style="441" customWidth="1"/>
    <col min="14090" max="14090" width="8.640625" style="441" customWidth="1"/>
    <col min="14091" max="14091" width="5.42578125" style="441" customWidth="1"/>
    <col min="14092" max="14092" width="4.42578125" style="441" customWidth="1"/>
    <col min="14093" max="14093" width="4.140625" style="441" customWidth="1"/>
    <col min="14094" max="14094" width="3.140625" style="441" customWidth="1"/>
    <col min="14095" max="14095" width="4.5703125" style="441" customWidth="1"/>
    <col min="14096" max="14096" width="4.42578125" style="441" customWidth="1"/>
    <col min="14097" max="14097" width="4" style="441" customWidth="1"/>
    <col min="14098" max="14098" width="3" style="441" customWidth="1"/>
    <col min="14099" max="14099" width="3.85546875" style="441" customWidth="1"/>
    <col min="14100" max="14100" width="4.42578125" style="441" customWidth="1"/>
    <col min="14101" max="14101" width="3.42578125" style="441" customWidth="1"/>
    <col min="14102" max="14102" width="4.85546875" style="441" customWidth="1"/>
    <col min="14103" max="14103" width="10.5703125" style="441" customWidth="1"/>
    <col min="14104" max="14104" width="7.140625" style="441" customWidth="1"/>
    <col min="14105" max="14105" width="8.140625" style="441" customWidth="1"/>
    <col min="14106" max="14106" width="7.5703125" style="441" customWidth="1"/>
    <col min="14107" max="14108" width="7.640625" style="441" customWidth="1"/>
    <col min="14109" max="14109" width="7.140625" style="441" customWidth="1"/>
    <col min="14110" max="14335" width="9" style="441"/>
    <col min="14336" max="14336" width="4.42578125" style="441" customWidth="1"/>
    <col min="14337" max="14337" width="20.5703125" style="441" customWidth="1"/>
    <col min="14338" max="14338" width="12.42578125" style="441" customWidth="1"/>
    <col min="14339" max="14339" width="12.5703125" style="441" customWidth="1"/>
    <col min="14340" max="14340" width="3.85546875" style="441" customWidth="1"/>
    <col min="14341" max="14342" width="4.140625" style="441" customWidth="1"/>
    <col min="14343" max="14343" width="4" style="441" customWidth="1"/>
    <col min="14344" max="14344" width="16.42578125" style="441" customWidth="1"/>
    <col min="14345" max="14345" width="5.5703125" style="441" customWidth="1"/>
    <col min="14346" max="14346" width="8.640625" style="441" customWidth="1"/>
    <col min="14347" max="14347" width="5.42578125" style="441" customWidth="1"/>
    <col min="14348" max="14348" width="4.42578125" style="441" customWidth="1"/>
    <col min="14349" max="14349" width="4.140625" style="441" customWidth="1"/>
    <col min="14350" max="14350" width="3.140625" style="441" customWidth="1"/>
    <col min="14351" max="14351" width="4.5703125" style="441" customWidth="1"/>
    <col min="14352" max="14352" width="4.42578125" style="441" customWidth="1"/>
    <col min="14353" max="14353" width="4" style="441" customWidth="1"/>
    <col min="14354" max="14354" width="3" style="441" customWidth="1"/>
    <col min="14355" max="14355" width="3.85546875" style="441" customWidth="1"/>
    <col min="14356" max="14356" width="4.42578125" style="441" customWidth="1"/>
    <col min="14357" max="14357" width="3.42578125" style="441" customWidth="1"/>
    <col min="14358" max="14358" width="4.85546875" style="441" customWidth="1"/>
    <col min="14359" max="14359" width="10.5703125" style="441" customWidth="1"/>
    <col min="14360" max="14360" width="7.140625" style="441" customWidth="1"/>
    <col min="14361" max="14361" width="8.140625" style="441" customWidth="1"/>
    <col min="14362" max="14362" width="7.5703125" style="441" customWidth="1"/>
    <col min="14363" max="14364" width="7.640625" style="441" customWidth="1"/>
    <col min="14365" max="14365" width="7.140625" style="441" customWidth="1"/>
    <col min="14366" max="14591" width="9" style="441"/>
    <col min="14592" max="14592" width="4.42578125" style="441" customWidth="1"/>
    <col min="14593" max="14593" width="20.5703125" style="441" customWidth="1"/>
    <col min="14594" max="14594" width="12.42578125" style="441" customWidth="1"/>
    <col min="14595" max="14595" width="12.5703125" style="441" customWidth="1"/>
    <col min="14596" max="14596" width="3.85546875" style="441" customWidth="1"/>
    <col min="14597" max="14598" width="4.140625" style="441" customWidth="1"/>
    <col min="14599" max="14599" width="4" style="441" customWidth="1"/>
    <col min="14600" max="14600" width="16.42578125" style="441" customWidth="1"/>
    <col min="14601" max="14601" width="5.5703125" style="441" customWidth="1"/>
    <col min="14602" max="14602" width="8.640625" style="441" customWidth="1"/>
    <col min="14603" max="14603" width="5.42578125" style="441" customWidth="1"/>
    <col min="14604" max="14604" width="4.42578125" style="441" customWidth="1"/>
    <col min="14605" max="14605" width="4.140625" style="441" customWidth="1"/>
    <col min="14606" max="14606" width="3.140625" style="441" customWidth="1"/>
    <col min="14607" max="14607" width="4.5703125" style="441" customWidth="1"/>
    <col min="14608" max="14608" width="4.42578125" style="441" customWidth="1"/>
    <col min="14609" max="14609" width="4" style="441" customWidth="1"/>
    <col min="14610" max="14610" width="3" style="441" customWidth="1"/>
    <col min="14611" max="14611" width="3.85546875" style="441" customWidth="1"/>
    <col min="14612" max="14612" width="4.42578125" style="441" customWidth="1"/>
    <col min="14613" max="14613" width="3.42578125" style="441" customWidth="1"/>
    <col min="14614" max="14614" width="4.85546875" style="441" customWidth="1"/>
    <col min="14615" max="14615" width="10.5703125" style="441" customWidth="1"/>
    <col min="14616" max="14616" width="7.140625" style="441" customWidth="1"/>
    <col min="14617" max="14617" width="8.140625" style="441" customWidth="1"/>
    <col min="14618" max="14618" width="7.5703125" style="441" customWidth="1"/>
    <col min="14619" max="14620" width="7.640625" style="441" customWidth="1"/>
    <col min="14621" max="14621" width="7.140625" style="441" customWidth="1"/>
    <col min="14622" max="14847" width="9" style="441"/>
    <col min="14848" max="14848" width="4.42578125" style="441" customWidth="1"/>
    <col min="14849" max="14849" width="20.5703125" style="441" customWidth="1"/>
    <col min="14850" max="14850" width="12.42578125" style="441" customWidth="1"/>
    <col min="14851" max="14851" width="12.5703125" style="441" customWidth="1"/>
    <col min="14852" max="14852" width="3.85546875" style="441" customWidth="1"/>
    <col min="14853" max="14854" width="4.140625" style="441" customWidth="1"/>
    <col min="14855" max="14855" width="4" style="441" customWidth="1"/>
    <col min="14856" max="14856" width="16.42578125" style="441" customWidth="1"/>
    <col min="14857" max="14857" width="5.5703125" style="441" customWidth="1"/>
    <col min="14858" max="14858" width="8.640625" style="441" customWidth="1"/>
    <col min="14859" max="14859" width="5.42578125" style="441" customWidth="1"/>
    <col min="14860" max="14860" width="4.42578125" style="441" customWidth="1"/>
    <col min="14861" max="14861" width="4.140625" style="441" customWidth="1"/>
    <col min="14862" max="14862" width="3.140625" style="441" customWidth="1"/>
    <col min="14863" max="14863" width="4.5703125" style="441" customWidth="1"/>
    <col min="14864" max="14864" width="4.42578125" style="441" customWidth="1"/>
    <col min="14865" max="14865" width="4" style="441" customWidth="1"/>
    <col min="14866" max="14866" width="3" style="441" customWidth="1"/>
    <col min="14867" max="14867" width="3.85546875" style="441" customWidth="1"/>
    <col min="14868" max="14868" width="4.42578125" style="441" customWidth="1"/>
    <col min="14869" max="14869" width="3.42578125" style="441" customWidth="1"/>
    <col min="14870" max="14870" width="4.85546875" style="441" customWidth="1"/>
    <col min="14871" max="14871" width="10.5703125" style="441" customWidth="1"/>
    <col min="14872" max="14872" width="7.140625" style="441" customWidth="1"/>
    <col min="14873" max="14873" width="8.140625" style="441" customWidth="1"/>
    <col min="14874" max="14874" width="7.5703125" style="441" customWidth="1"/>
    <col min="14875" max="14876" width="7.640625" style="441" customWidth="1"/>
    <col min="14877" max="14877" width="7.140625" style="441" customWidth="1"/>
    <col min="14878" max="15103" width="9" style="441"/>
    <col min="15104" max="15104" width="4.42578125" style="441" customWidth="1"/>
    <col min="15105" max="15105" width="20.5703125" style="441" customWidth="1"/>
    <col min="15106" max="15106" width="12.42578125" style="441" customWidth="1"/>
    <col min="15107" max="15107" width="12.5703125" style="441" customWidth="1"/>
    <col min="15108" max="15108" width="3.85546875" style="441" customWidth="1"/>
    <col min="15109" max="15110" width="4.140625" style="441" customWidth="1"/>
    <col min="15111" max="15111" width="4" style="441" customWidth="1"/>
    <col min="15112" max="15112" width="16.42578125" style="441" customWidth="1"/>
    <col min="15113" max="15113" width="5.5703125" style="441" customWidth="1"/>
    <col min="15114" max="15114" width="8.640625" style="441" customWidth="1"/>
    <col min="15115" max="15115" width="5.42578125" style="441" customWidth="1"/>
    <col min="15116" max="15116" width="4.42578125" style="441" customWidth="1"/>
    <col min="15117" max="15117" width="4.140625" style="441" customWidth="1"/>
    <col min="15118" max="15118" width="3.140625" style="441" customWidth="1"/>
    <col min="15119" max="15119" width="4.5703125" style="441" customWidth="1"/>
    <col min="15120" max="15120" width="4.42578125" style="441" customWidth="1"/>
    <col min="15121" max="15121" width="4" style="441" customWidth="1"/>
    <col min="15122" max="15122" width="3" style="441" customWidth="1"/>
    <col min="15123" max="15123" width="3.85546875" style="441" customWidth="1"/>
    <col min="15124" max="15124" width="4.42578125" style="441" customWidth="1"/>
    <col min="15125" max="15125" width="3.42578125" style="441" customWidth="1"/>
    <col min="15126" max="15126" width="4.85546875" style="441" customWidth="1"/>
    <col min="15127" max="15127" width="10.5703125" style="441" customWidth="1"/>
    <col min="15128" max="15128" width="7.140625" style="441" customWidth="1"/>
    <col min="15129" max="15129" width="8.140625" style="441" customWidth="1"/>
    <col min="15130" max="15130" width="7.5703125" style="441" customWidth="1"/>
    <col min="15131" max="15132" width="7.640625" style="441" customWidth="1"/>
    <col min="15133" max="15133" width="7.140625" style="441" customWidth="1"/>
    <col min="15134" max="15359" width="9" style="441"/>
    <col min="15360" max="15360" width="4.42578125" style="441" customWidth="1"/>
    <col min="15361" max="15361" width="20.5703125" style="441" customWidth="1"/>
    <col min="15362" max="15362" width="12.42578125" style="441" customWidth="1"/>
    <col min="15363" max="15363" width="12.5703125" style="441" customWidth="1"/>
    <col min="15364" max="15364" width="3.85546875" style="441" customWidth="1"/>
    <col min="15365" max="15366" width="4.140625" style="441" customWidth="1"/>
    <col min="15367" max="15367" width="4" style="441" customWidth="1"/>
    <col min="15368" max="15368" width="16.42578125" style="441" customWidth="1"/>
    <col min="15369" max="15369" width="5.5703125" style="441" customWidth="1"/>
    <col min="15370" max="15370" width="8.640625" style="441" customWidth="1"/>
    <col min="15371" max="15371" width="5.42578125" style="441" customWidth="1"/>
    <col min="15372" max="15372" width="4.42578125" style="441" customWidth="1"/>
    <col min="15373" max="15373" width="4.140625" style="441" customWidth="1"/>
    <col min="15374" max="15374" width="3.140625" style="441" customWidth="1"/>
    <col min="15375" max="15375" width="4.5703125" style="441" customWidth="1"/>
    <col min="15376" max="15376" width="4.42578125" style="441" customWidth="1"/>
    <col min="15377" max="15377" width="4" style="441" customWidth="1"/>
    <col min="15378" max="15378" width="3" style="441" customWidth="1"/>
    <col min="15379" max="15379" width="3.85546875" style="441" customWidth="1"/>
    <col min="15380" max="15380" width="4.42578125" style="441" customWidth="1"/>
    <col min="15381" max="15381" width="3.42578125" style="441" customWidth="1"/>
    <col min="15382" max="15382" width="4.85546875" style="441" customWidth="1"/>
    <col min="15383" max="15383" width="10.5703125" style="441" customWidth="1"/>
    <col min="15384" max="15384" width="7.140625" style="441" customWidth="1"/>
    <col min="15385" max="15385" width="8.140625" style="441" customWidth="1"/>
    <col min="15386" max="15386" width="7.5703125" style="441" customWidth="1"/>
    <col min="15387" max="15388" width="7.640625" style="441" customWidth="1"/>
    <col min="15389" max="15389" width="7.140625" style="441" customWidth="1"/>
    <col min="15390" max="15615" width="9" style="441"/>
    <col min="15616" max="15616" width="4.42578125" style="441" customWidth="1"/>
    <col min="15617" max="15617" width="20.5703125" style="441" customWidth="1"/>
    <col min="15618" max="15618" width="12.42578125" style="441" customWidth="1"/>
    <col min="15619" max="15619" width="12.5703125" style="441" customWidth="1"/>
    <col min="15620" max="15620" width="3.85546875" style="441" customWidth="1"/>
    <col min="15621" max="15622" width="4.140625" style="441" customWidth="1"/>
    <col min="15623" max="15623" width="4" style="441" customWidth="1"/>
    <col min="15624" max="15624" width="16.42578125" style="441" customWidth="1"/>
    <col min="15625" max="15625" width="5.5703125" style="441" customWidth="1"/>
    <col min="15626" max="15626" width="8.640625" style="441" customWidth="1"/>
    <col min="15627" max="15627" width="5.42578125" style="441" customWidth="1"/>
    <col min="15628" max="15628" width="4.42578125" style="441" customWidth="1"/>
    <col min="15629" max="15629" width="4.140625" style="441" customWidth="1"/>
    <col min="15630" max="15630" width="3.140625" style="441" customWidth="1"/>
    <col min="15631" max="15631" width="4.5703125" style="441" customWidth="1"/>
    <col min="15632" max="15632" width="4.42578125" style="441" customWidth="1"/>
    <col min="15633" max="15633" width="4" style="441" customWidth="1"/>
    <col min="15634" max="15634" width="3" style="441" customWidth="1"/>
    <col min="15635" max="15635" width="3.85546875" style="441" customWidth="1"/>
    <col min="15636" max="15636" width="4.42578125" style="441" customWidth="1"/>
    <col min="15637" max="15637" width="3.42578125" style="441" customWidth="1"/>
    <col min="15638" max="15638" width="4.85546875" style="441" customWidth="1"/>
    <col min="15639" max="15639" width="10.5703125" style="441" customWidth="1"/>
    <col min="15640" max="15640" width="7.140625" style="441" customWidth="1"/>
    <col min="15641" max="15641" width="8.140625" style="441" customWidth="1"/>
    <col min="15642" max="15642" width="7.5703125" style="441" customWidth="1"/>
    <col min="15643" max="15644" width="7.640625" style="441" customWidth="1"/>
    <col min="15645" max="15645" width="7.140625" style="441" customWidth="1"/>
    <col min="15646" max="15871" width="9" style="441"/>
    <col min="15872" max="15872" width="4.42578125" style="441" customWidth="1"/>
    <col min="15873" max="15873" width="20.5703125" style="441" customWidth="1"/>
    <col min="15874" max="15874" width="12.42578125" style="441" customWidth="1"/>
    <col min="15875" max="15875" width="12.5703125" style="441" customWidth="1"/>
    <col min="15876" max="15876" width="3.85546875" style="441" customWidth="1"/>
    <col min="15877" max="15878" width="4.140625" style="441" customWidth="1"/>
    <col min="15879" max="15879" width="4" style="441" customWidth="1"/>
    <col min="15880" max="15880" width="16.42578125" style="441" customWidth="1"/>
    <col min="15881" max="15881" width="5.5703125" style="441" customWidth="1"/>
    <col min="15882" max="15882" width="8.640625" style="441" customWidth="1"/>
    <col min="15883" max="15883" width="5.42578125" style="441" customWidth="1"/>
    <col min="15884" max="15884" width="4.42578125" style="441" customWidth="1"/>
    <col min="15885" max="15885" width="4.140625" style="441" customWidth="1"/>
    <col min="15886" max="15886" width="3.140625" style="441" customWidth="1"/>
    <col min="15887" max="15887" width="4.5703125" style="441" customWidth="1"/>
    <col min="15888" max="15888" width="4.42578125" style="441" customWidth="1"/>
    <col min="15889" max="15889" width="4" style="441" customWidth="1"/>
    <col min="15890" max="15890" width="3" style="441" customWidth="1"/>
    <col min="15891" max="15891" width="3.85546875" style="441" customWidth="1"/>
    <col min="15892" max="15892" width="4.42578125" style="441" customWidth="1"/>
    <col min="15893" max="15893" width="3.42578125" style="441" customWidth="1"/>
    <col min="15894" max="15894" width="4.85546875" style="441" customWidth="1"/>
    <col min="15895" max="15895" width="10.5703125" style="441" customWidth="1"/>
    <col min="15896" max="15896" width="7.140625" style="441" customWidth="1"/>
    <col min="15897" max="15897" width="8.140625" style="441" customWidth="1"/>
    <col min="15898" max="15898" width="7.5703125" style="441" customWidth="1"/>
    <col min="15899" max="15900" width="7.640625" style="441" customWidth="1"/>
    <col min="15901" max="15901" width="7.140625" style="441" customWidth="1"/>
    <col min="15902" max="16127" width="9" style="441"/>
    <col min="16128" max="16128" width="4.42578125" style="441" customWidth="1"/>
    <col min="16129" max="16129" width="20.5703125" style="441" customWidth="1"/>
    <col min="16130" max="16130" width="12.42578125" style="441" customWidth="1"/>
    <col min="16131" max="16131" width="12.5703125" style="441" customWidth="1"/>
    <col min="16132" max="16132" width="3.85546875" style="441" customWidth="1"/>
    <col min="16133" max="16134" width="4.140625" style="441" customWidth="1"/>
    <col min="16135" max="16135" width="4" style="441" customWidth="1"/>
    <col min="16136" max="16136" width="16.42578125" style="441" customWidth="1"/>
    <col min="16137" max="16137" width="5.5703125" style="441" customWidth="1"/>
    <col min="16138" max="16138" width="8.640625" style="441" customWidth="1"/>
    <col min="16139" max="16139" width="5.42578125" style="441" customWidth="1"/>
    <col min="16140" max="16140" width="4.42578125" style="441" customWidth="1"/>
    <col min="16141" max="16141" width="4.140625" style="441" customWidth="1"/>
    <col min="16142" max="16142" width="3.140625" style="441" customWidth="1"/>
    <col min="16143" max="16143" width="4.5703125" style="441" customWidth="1"/>
    <col min="16144" max="16144" width="4.42578125" style="441" customWidth="1"/>
    <col min="16145" max="16145" width="4" style="441" customWidth="1"/>
    <col min="16146" max="16146" width="3" style="441" customWidth="1"/>
    <col min="16147" max="16147" width="3.85546875" style="441" customWidth="1"/>
    <col min="16148" max="16148" width="4.42578125" style="441" customWidth="1"/>
    <col min="16149" max="16149" width="3.42578125" style="441" customWidth="1"/>
    <col min="16150" max="16150" width="4.85546875" style="441" customWidth="1"/>
    <col min="16151" max="16151" width="10.5703125" style="441" customWidth="1"/>
    <col min="16152" max="16152" width="7.140625" style="441" customWidth="1"/>
    <col min="16153" max="16153" width="8.140625" style="441" customWidth="1"/>
    <col min="16154" max="16154" width="7.5703125" style="441" customWidth="1"/>
    <col min="16155" max="16156" width="7.640625" style="441" customWidth="1"/>
    <col min="16157" max="16157" width="7.140625" style="441" customWidth="1"/>
    <col min="16158" max="16384" width="9" style="441"/>
  </cols>
  <sheetData>
    <row r="1" spans="1:34" s="184" customFormat="1" ht="27">
      <c r="D1" s="3002" t="s">
        <v>437</v>
      </c>
      <c r="E1" s="3002"/>
      <c r="F1" s="3002"/>
      <c r="G1" s="3002"/>
      <c r="H1" s="3002"/>
      <c r="I1" s="3002"/>
      <c r="J1" s="3002"/>
      <c r="K1" s="3002"/>
      <c r="L1" s="3002"/>
      <c r="M1" s="3002"/>
      <c r="N1" s="3002"/>
      <c r="O1" s="3002"/>
      <c r="P1" s="3002"/>
      <c r="Q1" s="3002"/>
      <c r="R1" s="3002"/>
      <c r="S1" s="3002"/>
      <c r="T1" s="3002"/>
      <c r="U1" s="3002"/>
      <c r="V1" s="3002"/>
      <c r="W1" s="3002"/>
      <c r="X1" s="3002"/>
      <c r="Y1" s="3002"/>
      <c r="Z1" s="3002"/>
      <c r="AA1" s="3002"/>
      <c r="AB1" s="3002"/>
    </row>
    <row r="2" spans="1:34" s="184" customFormat="1" ht="20.25" customHeight="1">
      <c r="D2" s="185" t="s">
        <v>0</v>
      </c>
      <c r="E2" s="186" t="s">
        <v>1</v>
      </c>
      <c r="G2" s="187" t="s">
        <v>238</v>
      </c>
      <c r="I2" s="188"/>
      <c r="J2" s="189"/>
    </row>
    <row r="3" spans="1:34" s="184" customFormat="1" ht="19.5" customHeight="1">
      <c r="D3" s="190" t="s">
        <v>2</v>
      </c>
      <c r="E3" s="190"/>
      <c r="F3" s="190"/>
      <c r="G3" s="190"/>
      <c r="H3" s="190"/>
      <c r="I3" s="190"/>
      <c r="J3" s="190"/>
      <c r="K3" s="190"/>
      <c r="L3" s="190"/>
      <c r="M3" s="190"/>
      <c r="N3" s="190"/>
      <c r="O3" s="190"/>
      <c r="P3" s="190"/>
      <c r="Q3" s="190"/>
      <c r="R3" s="190"/>
      <c r="S3" s="190"/>
      <c r="T3" s="190"/>
      <c r="U3" s="190"/>
      <c r="V3" s="190"/>
    </row>
    <row r="4" spans="1:34" s="184" customFormat="1" ht="19.5" customHeight="1">
      <c r="D4" s="190" t="s">
        <v>187</v>
      </c>
      <c r="E4" s="190"/>
      <c r="F4" s="190"/>
      <c r="G4" s="190"/>
      <c r="H4" s="190"/>
      <c r="I4" s="190"/>
      <c r="J4" s="190"/>
      <c r="K4" s="190"/>
      <c r="R4" s="190"/>
      <c r="S4" s="190"/>
      <c r="T4" s="190"/>
      <c r="U4" s="190"/>
      <c r="V4" s="190"/>
    </row>
    <row r="5" spans="1:34" s="184" customFormat="1" ht="19.5" customHeight="1">
      <c r="D5" s="185" t="s">
        <v>188</v>
      </c>
      <c r="E5" s="190"/>
      <c r="F5" s="190"/>
      <c r="G5" s="190"/>
      <c r="H5" s="190"/>
      <c r="I5" s="190"/>
      <c r="J5" s="190"/>
      <c r="K5" s="190" t="s">
        <v>3</v>
      </c>
      <c r="M5" s="438" t="s">
        <v>37</v>
      </c>
      <c r="N5" s="431" t="s">
        <v>11</v>
      </c>
      <c r="O5" s="433" t="s">
        <v>22</v>
      </c>
      <c r="P5" s="433" t="s">
        <v>23</v>
      </c>
      <c r="Q5" s="433" t="s">
        <v>24</v>
      </c>
      <c r="R5" s="433" t="s">
        <v>25</v>
      </c>
      <c r="S5" s="433" t="s">
        <v>26</v>
      </c>
      <c r="T5" s="433" t="s">
        <v>27</v>
      </c>
      <c r="U5" s="433" t="s">
        <v>28</v>
      </c>
      <c r="V5" s="433" t="s">
        <v>29</v>
      </c>
      <c r="W5" s="433" t="s">
        <v>30</v>
      </c>
      <c r="X5" s="433" t="s">
        <v>31</v>
      </c>
      <c r="Y5" s="433" t="s">
        <v>32</v>
      </c>
      <c r="Z5" s="433" t="s">
        <v>33</v>
      </c>
      <c r="AA5" s="2053" t="s">
        <v>2287</v>
      </c>
      <c r="AB5" s="2053" t="s">
        <v>2288</v>
      </c>
      <c r="AC5" s="2053" t="s">
        <v>2289</v>
      </c>
      <c r="AD5" s="2053" t="s">
        <v>2290</v>
      </c>
      <c r="AE5" s="2053" t="s">
        <v>2291</v>
      </c>
    </row>
    <row r="6" spans="1:34" s="184" customFormat="1" ht="19.5" customHeight="1">
      <c r="D6" s="190" t="s">
        <v>4</v>
      </c>
      <c r="E6" s="190"/>
      <c r="F6" s="190"/>
      <c r="G6" s="190" t="s">
        <v>5</v>
      </c>
      <c r="H6" s="190"/>
      <c r="I6" s="190"/>
      <c r="J6" s="190"/>
      <c r="K6" s="190"/>
      <c r="M6" s="2873">
        <v>56</v>
      </c>
      <c r="N6" s="432">
        <f>SUM(N8:N349)</f>
        <v>13383701</v>
      </c>
      <c r="O6" s="432">
        <f>O11+O14+O17+O20+O33+O36+O42+O45+O50+O55+O58+O67+O68+O70+O74+O78+O81+O86+O90+O96+O99+O102+O104+O107+O114+O119+O126+O131+O134+O138+O140+O142+O144+O162+O188+O192+O204+O206+O211+O224+O269+O278+O282+O291+O298+O303+O306+O309+O322+O325+O331+O334+O338+O344+O346+O348</f>
        <v>72349</v>
      </c>
      <c r="P6" s="432">
        <f t="shared" ref="P6:Z6" si="0">P11+P14+P17+P20+P33+P36+P42+P45+P50+P55+P58+P67+P68+P70+P74+P78+P81+P86+P90+P96+P99+P102+P104+P107+P114+P119+P126+P131+P134+P138+P140+P142+P144+P162+P188+P192+P204+P206+P211+P224+P269+P278+P282+P291+P298+P303+P306+P309+P322+P325+P331+P334+P338+P344+P346+P348</f>
        <v>222839</v>
      </c>
      <c r="Q6" s="432">
        <f t="shared" si="0"/>
        <v>636279</v>
      </c>
      <c r="R6" s="432">
        <f t="shared" si="0"/>
        <v>4368454</v>
      </c>
      <c r="S6" s="432">
        <f t="shared" si="0"/>
        <v>1072667</v>
      </c>
      <c r="T6" s="432">
        <f t="shared" si="0"/>
        <v>1251259</v>
      </c>
      <c r="U6" s="432">
        <f t="shared" si="0"/>
        <v>787839</v>
      </c>
      <c r="V6" s="432">
        <f t="shared" si="0"/>
        <v>2304559</v>
      </c>
      <c r="W6" s="432">
        <f t="shared" si="0"/>
        <v>613179</v>
      </c>
      <c r="X6" s="432">
        <f t="shared" si="0"/>
        <v>1578259</v>
      </c>
      <c r="Y6" s="432">
        <f t="shared" si="0"/>
        <v>391009</v>
      </c>
      <c r="Z6" s="432">
        <f t="shared" si="0"/>
        <v>85009</v>
      </c>
      <c r="AA6" s="2058">
        <f>N33+N70+N74+N78+N81+N86+N90+N96+N99+N102</f>
        <v>135010</v>
      </c>
      <c r="AB6" s="2058">
        <f>N36+N107+N119+N126+N131+N134+N138+N140+N142+N144+N162+N188+N192+N204+N206+N211</f>
        <v>6370925</v>
      </c>
      <c r="AC6" s="2059">
        <f>N224+N269+N278+N282+N291+N298+N303+N306+N309+N322+N325+N331+N334+N338</f>
        <v>2887438</v>
      </c>
      <c r="AD6" s="2058"/>
      <c r="AE6" s="2058">
        <f>N11+N14+N17+N20+N45+N50+N55+N58+N104+N114</f>
        <v>3990328</v>
      </c>
      <c r="AF6" s="2872"/>
      <c r="AG6" s="2872">
        <f>N6-AF6</f>
        <v>13383701</v>
      </c>
    </row>
    <row r="7" spans="1:34" s="184" customFormat="1" ht="19.5" customHeight="1">
      <c r="D7" s="191"/>
      <c r="E7" s="190"/>
      <c r="F7" s="190"/>
      <c r="G7" s="190" t="s">
        <v>3</v>
      </c>
      <c r="H7" s="190"/>
      <c r="I7" s="190"/>
      <c r="J7" s="190"/>
      <c r="K7" s="190"/>
      <c r="M7" s="436"/>
      <c r="N7" s="434"/>
      <c r="O7" s="435"/>
      <c r="P7" s="435"/>
      <c r="Q7" s="435">
        <f>O6+P6+Q6</f>
        <v>931467</v>
      </c>
      <c r="R7" s="435"/>
      <c r="S7" s="435"/>
      <c r="T7" s="435">
        <f>R6+S6+T6</f>
        <v>6692380</v>
      </c>
      <c r="U7" s="435"/>
      <c r="V7" s="435"/>
      <c r="W7" s="435">
        <f>U6+V6+W6</f>
        <v>3705577</v>
      </c>
      <c r="X7" s="435"/>
      <c r="Y7" s="435"/>
      <c r="Z7" s="435">
        <f>X6+Y6+Z6</f>
        <v>2054277</v>
      </c>
    </row>
    <row r="8" spans="1:34">
      <c r="A8" s="449" t="s">
        <v>34</v>
      </c>
      <c r="B8" s="450"/>
      <c r="C8" s="451"/>
      <c r="D8" s="3354" t="s">
        <v>6</v>
      </c>
      <c r="E8" s="3357" t="s">
        <v>7</v>
      </c>
      <c r="F8" s="3357" t="s">
        <v>8</v>
      </c>
      <c r="G8" s="3357" t="s">
        <v>9</v>
      </c>
      <c r="H8" s="3360" t="s">
        <v>10</v>
      </c>
      <c r="I8" s="3361"/>
      <c r="J8" s="3361"/>
      <c r="K8" s="3362"/>
      <c r="L8" s="3366" t="s">
        <v>11</v>
      </c>
      <c r="M8" s="3367"/>
      <c r="N8" s="3374" t="s">
        <v>12</v>
      </c>
      <c r="O8" s="3377" t="s">
        <v>13</v>
      </c>
      <c r="P8" s="3377"/>
      <c r="Q8" s="3377"/>
      <c r="R8" s="3378"/>
      <c r="S8" s="3378"/>
      <c r="T8" s="3378"/>
      <c r="U8" s="3377"/>
      <c r="V8" s="3377"/>
      <c r="W8" s="3377"/>
      <c r="X8" s="3377"/>
      <c r="Y8" s="3377"/>
      <c r="Z8" s="3377"/>
      <c r="AA8" s="3357" t="s">
        <v>14</v>
      </c>
      <c r="AB8" s="3351" t="s">
        <v>15</v>
      </c>
      <c r="AC8" s="452"/>
      <c r="AD8" s="452"/>
      <c r="AE8" s="452"/>
      <c r="AF8" s="452"/>
    </row>
    <row r="9" spans="1:34">
      <c r="A9" s="453"/>
      <c r="B9" s="454"/>
      <c r="C9" s="455"/>
      <c r="D9" s="3355"/>
      <c r="E9" s="3358"/>
      <c r="F9" s="3358"/>
      <c r="G9" s="3358"/>
      <c r="H9" s="3363"/>
      <c r="I9" s="3364"/>
      <c r="J9" s="3364"/>
      <c r="K9" s="3365"/>
      <c r="L9" s="3368"/>
      <c r="M9" s="3369"/>
      <c r="N9" s="3375"/>
      <c r="O9" s="3352" t="s">
        <v>16</v>
      </c>
      <c r="P9" s="3352"/>
      <c r="Q9" s="3352"/>
      <c r="R9" s="3353" t="s">
        <v>17</v>
      </c>
      <c r="S9" s="3353"/>
      <c r="T9" s="3353"/>
      <c r="U9" s="3352" t="s">
        <v>18</v>
      </c>
      <c r="V9" s="3352"/>
      <c r="W9" s="3352"/>
      <c r="X9" s="3352" t="s">
        <v>19</v>
      </c>
      <c r="Y9" s="3352"/>
      <c r="Z9" s="3352"/>
      <c r="AA9" s="3358"/>
      <c r="AB9" s="3351"/>
      <c r="AC9" s="452"/>
      <c r="AD9" s="452"/>
      <c r="AE9" s="452"/>
      <c r="AF9" s="452"/>
    </row>
    <row r="10" spans="1:34">
      <c r="A10" s="456" t="s">
        <v>36</v>
      </c>
      <c r="B10" s="456" t="s">
        <v>35</v>
      </c>
      <c r="C10" s="456" t="s">
        <v>37</v>
      </c>
      <c r="D10" s="3356"/>
      <c r="E10" s="3359"/>
      <c r="F10" s="3359"/>
      <c r="G10" s="3359"/>
      <c r="H10" s="457">
        <v>1</v>
      </c>
      <c r="I10" s="457">
        <v>2</v>
      </c>
      <c r="J10" s="457">
        <v>3</v>
      </c>
      <c r="K10" s="457">
        <v>4</v>
      </c>
      <c r="L10" s="458" t="s">
        <v>20</v>
      </c>
      <c r="M10" s="459" t="s">
        <v>21</v>
      </c>
      <c r="N10" s="3376"/>
      <c r="O10" s="460" t="s">
        <v>22</v>
      </c>
      <c r="P10" s="460" t="s">
        <v>23</v>
      </c>
      <c r="Q10" s="460" t="s">
        <v>24</v>
      </c>
      <c r="R10" s="461" t="s">
        <v>25</v>
      </c>
      <c r="S10" s="461" t="s">
        <v>26</v>
      </c>
      <c r="T10" s="461" t="s">
        <v>27</v>
      </c>
      <c r="U10" s="460" t="s">
        <v>28</v>
      </c>
      <c r="V10" s="460" t="s">
        <v>29</v>
      </c>
      <c r="W10" s="460" t="s">
        <v>30</v>
      </c>
      <c r="X10" s="460" t="s">
        <v>31</v>
      </c>
      <c r="Y10" s="460" t="s">
        <v>32</v>
      </c>
      <c r="Z10" s="460" t="s">
        <v>33</v>
      </c>
      <c r="AA10" s="3359"/>
      <c r="AB10" s="3351"/>
      <c r="AC10" s="452">
        <v>1</v>
      </c>
      <c r="AD10" s="452">
        <v>2</v>
      </c>
      <c r="AE10" s="452">
        <v>3</v>
      </c>
      <c r="AF10" s="452">
        <v>4</v>
      </c>
    </row>
    <row r="11" spans="1:34" s="447" customFormat="1" ht="20.05" customHeight="1">
      <c r="A11" s="462">
        <v>2</v>
      </c>
      <c r="B11" s="462">
        <v>6</v>
      </c>
      <c r="C11" s="462">
        <v>16</v>
      </c>
      <c r="D11" s="462">
        <v>1</v>
      </c>
      <c r="E11" s="463" t="s">
        <v>851</v>
      </c>
      <c r="F11" s="463"/>
      <c r="G11" s="464"/>
      <c r="H11" s="465"/>
      <c r="I11" s="465"/>
      <c r="J11" s="465"/>
      <c r="K11" s="465"/>
      <c r="L11" s="465"/>
      <c r="M11" s="466"/>
      <c r="N11" s="466">
        <f>SUM(M12:M13)</f>
        <v>8400</v>
      </c>
      <c r="O11" s="466">
        <f>SUM(O12:O13)</f>
        <v>0</v>
      </c>
      <c r="P11" s="466">
        <f t="shared" ref="P11:Z11" si="1">SUM(P12:P13)</f>
        <v>0</v>
      </c>
      <c r="Q11" s="466">
        <f t="shared" si="1"/>
        <v>8400</v>
      </c>
      <c r="R11" s="466">
        <f t="shared" si="1"/>
        <v>0</v>
      </c>
      <c r="S11" s="466">
        <f t="shared" si="1"/>
        <v>0</v>
      </c>
      <c r="T11" s="466">
        <f t="shared" si="1"/>
        <v>0</v>
      </c>
      <c r="U11" s="466">
        <f t="shared" si="1"/>
        <v>0</v>
      </c>
      <c r="V11" s="466">
        <f t="shared" si="1"/>
        <v>0</v>
      </c>
      <c r="W11" s="466">
        <f t="shared" si="1"/>
        <v>0</v>
      </c>
      <c r="X11" s="466">
        <f t="shared" si="1"/>
        <v>0</v>
      </c>
      <c r="Y11" s="466">
        <f t="shared" si="1"/>
        <v>0</v>
      </c>
      <c r="Z11" s="466">
        <f t="shared" si="1"/>
        <v>0</v>
      </c>
      <c r="AA11" s="465" t="s">
        <v>1241</v>
      </c>
      <c r="AB11" s="468" t="s">
        <v>853</v>
      </c>
      <c r="AC11" s="469">
        <f>SUBTOTAL(9,O11:Q11)</f>
        <v>8400</v>
      </c>
      <c r="AD11" s="469">
        <f>SUBTOTAL(9,R11:T11)</f>
        <v>0</v>
      </c>
      <c r="AE11" s="469">
        <f>SUBTOTAL(9,U11:W11)</f>
        <v>0</v>
      </c>
      <c r="AF11" s="469">
        <f>SUBTOTAL(9,X11:Z11)</f>
        <v>0</v>
      </c>
      <c r="AG11" s="470">
        <f>AC11+AD11+AE11+AF11</f>
        <v>8400</v>
      </c>
      <c r="AH11" s="471">
        <f>N11-AG11</f>
        <v>0</v>
      </c>
    </row>
    <row r="12" spans="1:34" s="483" customFormat="1" ht="33.549999999999997" customHeight="1">
      <c r="A12" s="472"/>
      <c r="B12" s="473"/>
      <c r="C12" s="473"/>
      <c r="D12" s="474"/>
      <c r="E12" s="475" t="s">
        <v>854</v>
      </c>
      <c r="F12" s="475" t="s">
        <v>855</v>
      </c>
      <c r="G12" s="476" t="s">
        <v>856</v>
      </c>
      <c r="H12" s="477" t="s">
        <v>239</v>
      </c>
      <c r="I12" s="477"/>
      <c r="J12" s="477"/>
      <c r="K12" s="477"/>
      <c r="L12" s="478" t="s">
        <v>857</v>
      </c>
      <c r="M12" s="479">
        <f>70*70</f>
        <v>4900</v>
      </c>
      <c r="N12" s="479"/>
      <c r="O12" s="479"/>
      <c r="P12" s="479"/>
      <c r="Q12" s="479">
        <f>M12</f>
        <v>4900</v>
      </c>
      <c r="R12" s="479"/>
      <c r="S12" s="479"/>
      <c r="T12" s="479"/>
      <c r="U12" s="479"/>
      <c r="V12" s="479"/>
      <c r="W12" s="479"/>
      <c r="X12" s="479"/>
      <c r="Y12" s="479"/>
      <c r="Z12" s="479"/>
      <c r="AA12" s="465" t="s">
        <v>852</v>
      </c>
      <c r="AB12" s="481"/>
      <c r="AC12" s="482"/>
      <c r="AD12" s="482"/>
      <c r="AE12" s="482"/>
      <c r="AF12" s="482"/>
    </row>
    <row r="13" spans="1:34" s="483" customFormat="1" ht="20.6">
      <c r="A13" s="484"/>
      <c r="B13" s="485"/>
      <c r="C13" s="485"/>
      <c r="D13" s="486"/>
      <c r="E13" s="487"/>
      <c r="F13" s="487"/>
      <c r="G13" s="488"/>
      <c r="H13" s="489"/>
      <c r="I13" s="489"/>
      <c r="J13" s="489"/>
      <c r="K13" s="489"/>
      <c r="L13" s="478" t="s">
        <v>858</v>
      </c>
      <c r="M13" s="479">
        <f>70*25*2</f>
        <v>3500</v>
      </c>
      <c r="N13" s="479"/>
      <c r="O13" s="479"/>
      <c r="P13" s="479"/>
      <c r="Q13" s="479">
        <f>70*25*2</f>
        <v>3500</v>
      </c>
      <c r="R13" s="479"/>
      <c r="S13" s="479"/>
      <c r="T13" s="479"/>
      <c r="U13" s="479"/>
      <c r="V13" s="479"/>
      <c r="W13" s="479"/>
      <c r="X13" s="479"/>
      <c r="Y13" s="479"/>
      <c r="Z13" s="479"/>
      <c r="AA13" s="480"/>
      <c r="AB13" s="481"/>
      <c r="AC13" s="482"/>
      <c r="AD13" s="482"/>
      <c r="AE13" s="482"/>
      <c r="AF13" s="482"/>
    </row>
    <row r="14" spans="1:34" s="447" customFormat="1" ht="20.05" customHeight="1">
      <c r="A14" s="462">
        <v>2</v>
      </c>
      <c r="B14" s="462">
        <v>6</v>
      </c>
      <c r="C14" s="462">
        <v>16</v>
      </c>
      <c r="D14" s="462">
        <v>2</v>
      </c>
      <c r="E14" s="463" t="s">
        <v>859</v>
      </c>
      <c r="F14" s="463"/>
      <c r="G14" s="464"/>
      <c r="H14" s="465"/>
      <c r="I14" s="465"/>
      <c r="J14" s="465"/>
      <c r="K14" s="465"/>
      <c r="L14" s="465"/>
      <c r="M14" s="466"/>
      <c r="N14" s="466">
        <f>SUM(M15:M16)</f>
        <v>8400</v>
      </c>
      <c r="O14" s="466">
        <f>SUM(O15:O16)</f>
        <v>0</v>
      </c>
      <c r="P14" s="466">
        <f t="shared" ref="P14:Z14" si="2">SUM(P15:P16)</f>
        <v>0</v>
      </c>
      <c r="Q14" s="466">
        <f t="shared" si="2"/>
        <v>0</v>
      </c>
      <c r="R14" s="466">
        <f t="shared" si="2"/>
        <v>0</v>
      </c>
      <c r="S14" s="466">
        <f t="shared" si="2"/>
        <v>8400</v>
      </c>
      <c r="T14" s="466">
        <f t="shared" si="2"/>
        <v>0</v>
      </c>
      <c r="U14" s="466">
        <f t="shared" si="2"/>
        <v>0</v>
      </c>
      <c r="V14" s="466">
        <f t="shared" si="2"/>
        <v>0</v>
      </c>
      <c r="W14" s="466">
        <f t="shared" si="2"/>
        <v>0</v>
      </c>
      <c r="X14" s="466">
        <f t="shared" si="2"/>
        <v>0</v>
      </c>
      <c r="Y14" s="466">
        <f t="shared" si="2"/>
        <v>0</v>
      </c>
      <c r="Z14" s="466">
        <f t="shared" si="2"/>
        <v>0</v>
      </c>
      <c r="AA14" s="465" t="s">
        <v>1241</v>
      </c>
      <c r="AB14" s="468" t="s">
        <v>853</v>
      </c>
      <c r="AC14" s="469">
        <f>SUBTOTAL(9,O14:Q14)</f>
        <v>0</v>
      </c>
      <c r="AD14" s="469">
        <f>SUBTOTAL(9,R14:T14)</f>
        <v>8400</v>
      </c>
      <c r="AE14" s="469">
        <f>SUBTOTAL(9,U14:W14)</f>
        <v>0</v>
      </c>
      <c r="AF14" s="469">
        <f>SUBTOTAL(9,X14:Z14)</f>
        <v>0</v>
      </c>
      <c r="AG14" s="470">
        <f>AC14+AD14+AE14+AF14</f>
        <v>8400</v>
      </c>
      <c r="AH14" s="471">
        <f>N14-AG14</f>
        <v>0</v>
      </c>
    </row>
    <row r="15" spans="1:34" s="483" customFormat="1" ht="30.9">
      <c r="A15" s="472"/>
      <c r="B15" s="473"/>
      <c r="C15" s="473"/>
      <c r="D15" s="490"/>
      <c r="E15" s="3370" t="s">
        <v>860</v>
      </c>
      <c r="F15" s="3370" t="s">
        <v>861</v>
      </c>
      <c r="G15" s="3370" t="s">
        <v>862</v>
      </c>
      <c r="H15" s="491"/>
      <c r="I15" s="491" t="s">
        <v>239</v>
      </c>
      <c r="J15" s="491"/>
      <c r="K15" s="491"/>
      <c r="L15" s="478" t="s">
        <v>857</v>
      </c>
      <c r="M15" s="479">
        <f>70*70</f>
        <v>4900</v>
      </c>
      <c r="N15" s="459"/>
      <c r="O15" s="459"/>
      <c r="P15" s="459"/>
      <c r="Q15" s="459"/>
      <c r="R15" s="492"/>
      <c r="S15" s="479">
        <f>M15</f>
        <v>4900</v>
      </c>
      <c r="T15" s="459"/>
      <c r="U15" s="459"/>
      <c r="V15" s="459"/>
      <c r="W15" s="459"/>
      <c r="X15" s="459"/>
      <c r="Y15" s="459"/>
      <c r="Z15" s="459"/>
      <c r="AA15" s="480" t="s">
        <v>852</v>
      </c>
      <c r="AB15" s="481"/>
      <c r="AC15" s="482"/>
      <c r="AD15" s="482"/>
      <c r="AE15" s="482"/>
      <c r="AF15" s="482"/>
    </row>
    <row r="16" spans="1:34" s="497" customFormat="1" ht="40" customHeight="1">
      <c r="A16" s="493"/>
      <c r="B16" s="493"/>
      <c r="C16" s="493"/>
      <c r="D16" s="493"/>
      <c r="E16" s="3371"/>
      <c r="F16" s="3371"/>
      <c r="G16" s="3371"/>
      <c r="H16" s="494"/>
      <c r="I16" s="494"/>
      <c r="J16" s="494"/>
      <c r="K16" s="494"/>
      <c r="L16" s="478" t="s">
        <v>858</v>
      </c>
      <c r="M16" s="479">
        <f>70*25*2</f>
        <v>3500</v>
      </c>
      <c r="N16" s="459"/>
      <c r="O16" s="459"/>
      <c r="P16" s="459"/>
      <c r="Q16" s="459"/>
      <c r="R16" s="459"/>
      <c r="S16" s="479">
        <f>M16</f>
        <v>3500</v>
      </c>
      <c r="T16" s="459"/>
      <c r="U16" s="459"/>
      <c r="V16" s="459"/>
      <c r="W16" s="459"/>
      <c r="X16" s="459"/>
      <c r="Y16" s="459"/>
      <c r="Z16" s="459"/>
      <c r="AA16" s="458"/>
      <c r="AB16" s="457"/>
      <c r="AC16" s="495"/>
      <c r="AD16" s="495"/>
      <c r="AE16" s="496"/>
      <c r="AF16" s="496"/>
    </row>
    <row r="17" spans="1:38" s="447" customFormat="1" ht="20.05" customHeight="1">
      <c r="A17" s="462">
        <v>2</v>
      </c>
      <c r="B17" s="462">
        <v>6</v>
      </c>
      <c r="C17" s="462">
        <v>16</v>
      </c>
      <c r="D17" s="462">
        <v>3</v>
      </c>
      <c r="E17" s="463" t="s">
        <v>863</v>
      </c>
      <c r="F17" s="463"/>
      <c r="G17" s="464"/>
      <c r="H17" s="465"/>
      <c r="I17" s="465"/>
      <c r="J17" s="465"/>
      <c r="K17" s="465"/>
      <c r="L17" s="465"/>
      <c r="M17" s="466"/>
      <c r="N17" s="466">
        <f>SUM(M18:M19)</f>
        <v>12040</v>
      </c>
      <c r="O17" s="466">
        <f>SUM(O18:O19)</f>
        <v>0</v>
      </c>
      <c r="P17" s="466">
        <f t="shared" ref="P17:Z17" si="3">SUM(P18:P19)</f>
        <v>0</v>
      </c>
      <c r="Q17" s="466">
        <f t="shared" si="3"/>
        <v>0</v>
      </c>
      <c r="R17" s="466">
        <f t="shared" si="3"/>
        <v>6020</v>
      </c>
      <c r="S17" s="466">
        <f t="shared" si="3"/>
        <v>0</v>
      </c>
      <c r="T17" s="466">
        <f t="shared" si="3"/>
        <v>0</v>
      </c>
      <c r="U17" s="466">
        <f t="shared" si="3"/>
        <v>6020</v>
      </c>
      <c r="V17" s="466">
        <f t="shared" si="3"/>
        <v>0</v>
      </c>
      <c r="W17" s="466">
        <f t="shared" si="3"/>
        <v>0</v>
      </c>
      <c r="X17" s="466">
        <f t="shared" si="3"/>
        <v>0</v>
      </c>
      <c r="Y17" s="466">
        <f t="shared" si="3"/>
        <v>0</v>
      </c>
      <c r="Z17" s="466">
        <f t="shared" si="3"/>
        <v>0</v>
      </c>
      <c r="AA17" s="465" t="s">
        <v>1241</v>
      </c>
      <c r="AB17" s="468" t="s">
        <v>853</v>
      </c>
      <c r="AC17" s="469">
        <f>SUBTOTAL(9,O17:Q17)</f>
        <v>0</v>
      </c>
      <c r="AD17" s="469">
        <f>SUBTOTAL(9,R17:T17)</f>
        <v>6020</v>
      </c>
      <c r="AE17" s="469">
        <f>SUBTOTAL(9,U17:W17)</f>
        <v>6020</v>
      </c>
      <c r="AF17" s="469">
        <f>SUBTOTAL(9,X17:Z17)</f>
        <v>0</v>
      </c>
      <c r="AG17" s="470">
        <f>AC17+AD17+AE17+AF17</f>
        <v>12040</v>
      </c>
      <c r="AH17" s="471">
        <f>N17-AG17</f>
        <v>0</v>
      </c>
    </row>
    <row r="18" spans="1:38" s="483" customFormat="1" ht="30.9">
      <c r="A18" s="472"/>
      <c r="B18" s="473"/>
      <c r="C18" s="473"/>
      <c r="D18" s="474"/>
      <c r="E18" s="3372" t="s">
        <v>864</v>
      </c>
      <c r="F18" s="3372" t="s">
        <v>865</v>
      </c>
      <c r="G18" s="3372" t="s">
        <v>866</v>
      </c>
      <c r="H18" s="477"/>
      <c r="I18" s="477" t="s">
        <v>239</v>
      </c>
      <c r="J18" s="477"/>
      <c r="K18" s="477"/>
      <c r="L18" s="478" t="s">
        <v>867</v>
      </c>
      <c r="M18" s="479">
        <f>20*25*7*2</f>
        <v>7000</v>
      </c>
      <c r="N18" s="479"/>
      <c r="O18" s="479"/>
      <c r="P18" s="479"/>
      <c r="Q18" s="479"/>
      <c r="R18" s="459">
        <f>M18/2</f>
        <v>3500</v>
      </c>
      <c r="S18" s="459"/>
      <c r="T18" s="479"/>
      <c r="U18" s="459">
        <f>R18</f>
        <v>3500</v>
      </c>
      <c r="V18" s="479"/>
      <c r="W18" s="479"/>
      <c r="X18" s="479"/>
      <c r="Y18" s="479"/>
      <c r="Z18" s="479"/>
      <c r="AA18" s="480" t="s">
        <v>852</v>
      </c>
      <c r="AB18" s="498" t="s">
        <v>724</v>
      </c>
      <c r="AC18" s="482"/>
      <c r="AD18" s="482"/>
      <c r="AE18" s="482"/>
      <c r="AF18" s="482"/>
    </row>
    <row r="19" spans="1:38" s="483" customFormat="1" ht="35.049999999999997" customHeight="1">
      <c r="A19" s="484"/>
      <c r="B19" s="485"/>
      <c r="C19" s="485"/>
      <c r="D19" s="486"/>
      <c r="E19" s="3373"/>
      <c r="F19" s="3373"/>
      <c r="G19" s="3373"/>
      <c r="H19" s="489"/>
      <c r="I19" s="489"/>
      <c r="J19" s="489"/>
      <c r="K19" s="489"/>
      <c r="L19" s="478" t="s">
        <v>868</v>
      </c>
      <c r="M19" s="459">
        <f>120*7*3*2</f>
        <v>5040</v>
      </c>
      <c r="N19" s="479"/>
      <c r="O19" s="479"/>
      <c r="P19" s="479"/>
      <c r="Q19" s="479"/>
      <c r="R19" s="459">
        <f>M19/2</f>
        <v>2520</v>
      </c>
      <c r="S19" s="459"/>
      <c r="T19" s="479"/>
      <c r="U19" s="459">
        <f>R19</f>
        <v>2520</v>
      </c>
      <c r="V19" s="479"/>
      <c r="W19" s="479"/>
      <c r="X19" s="479"/>
      <c r="Y19" s="479"/>
      <c r="Z19" s="479"/>
      <c r="AA19" s="480"/>
      <c r="AB19" s="481"/>
      <c r="AC19" s="482"/>
      <c r="AD19" s="482"/>
      <c r="AE19" s="482"/>
      <c r="AF19" s="482"/>
    </row>
    <row r="20" spans="1:38" s="447" customFormat="1" ht="20.05" customHeight="1">
      <c r="A20" s="462"/>
      <c r="B20" s="462"/>
      <c r="C20" s="462"/>
      <c r="D20" s="462">
        <v>4</v>
      </c>
      <c r="E20" s="463" t="s">
        <v>869</v>
      </c>
      <c r="F20" s="463"/>
      <c r="G20" s="464"/>
      <c r="H20" s="465"/>
      <c r="I20" s="465"/>
      <c r="J20" s="465"/>
      <c r="K20" s="465"/>
      <c r="L20" s="465"/>
      <c r="M20" s="466"/>
      <c r="N20" s="466">
        <f>SUM(M21:M32)</f>
        <v>181988</v>
      </c>
      <c r="O20" s="466">
        <f>SUM(O21:O32)</f>
        <v>0</v>
      </c>
      <c r="P20" s="466">
        <f t="shared" ref="P20:Z20" si="4">SUM(P21:P32)</f>
        <v>0</v>
      </c>
      <c r="Q20" s="466">
        <f t="shared" si="4"/>
        <v>78400</v>
      </c>
      <c r="R20" s="466">
        <f t="shared" si="4"/>
        <v>90000</v>
      </c>
      <c r="S20" s="466">
        <f t="shared" si="4"/>
        <v>13588</v>
      </c>
      <c r="T20" s="466">
        <f t="shared" si="4"/>
        <v>0</v>
      </c>
      <c r="U20" s="466">
        <f t="shared" si="4"/>
        <v>0</v>
      </c>
      <c r="V20" s="466">
        <f t="shared" si="4"/>
        <v>0</v>
      </c>
      <c r="W20" s="466">
        <f t="shared" si="4"/>
        <v>0</v>
      </c>
      <c r="X20" s="466">
        <f t="shared" si="4"/>
        <v>0</v>
      </c>
      <c r="Y20" s="466">
        <f t="shared" si="4"/>
        <v>0</v>
      </c>
      <c r="Z20" s="466">
        <f t="shared" si="4"/>
        <v>0</v>
      </c>
      <c r="AA20" s="465" t="s">
        <v>1241</v>
      </c>
      <c r="AB20" s="468" t="s">
        <v>870</v>
      </c>
      <c r="AC20" s="469">
        <f>SUBTOTAL(9,O20:Q20)</f>
        <v>78400</v>
      </c>
      <c r="AD20" s="469">
        <f>SUBTOTAL(9,R20:T20)</f>
        <v>103588</v>
      </c>
      <c r="AE20" s="469">
        <f>SUBTOTAL(9,U20:W20)</f>
        <v>0</v>
      </c>
      <c r="AF20" s="469">
        <f>SUBTOTAL(9,X20:Z20)</f>
        <v>0</v>
      </c>
      <c r="AG20" s="470">
        <f>AC20+AD20+AE20+AF20</f>
        <v>181988</v>
      </c>
      <c r="AH20" s="471">
        <f>N20-AG20</f>
        <v>0</v>
      </c>
    </row>
    <row r="21" spans="1:38" s="483" customFormat="1" ht="64" customHeight="1">
      <c r="A21" s="472"/>
      <c r="B21" s="473"/>
      <c r="C21" s="473"/>
      <c r="D21" s="490"/>
      <c r="E21" s="499" t="s">
        <v>871</v>
      </c>
      <c r="F21" s="499" t="s">
        <v>872</v>
      </c>
      <c r="G21" s="499" t="s">
        <v>873</v>
      </c>
      <c r="H21" s="491" t="s">
        <v>239</v>
      </c>
      <c r="I21" s="491"/>
      <c r="J21" s="491"/>
      <c r="K21" s="491"/>
      <c r="L21" s="500" t="s">
        <v>874</v>
      </c>
      <c r="M21" s="459">
        <v>90000</v>
      </c>
      <c r="N21" s="459"/>
      <c r="O21" s="459"/>
      <c r="P21" s="459"/>
      <c r="Q21" s="459"/>
      <c r="R21" s="459">
        <v>90000</v>
      </c>
      <c r="S21" s="459"/>
      <c r="T21" s="459"/>
      <c r="U21" s="459"/>
      <c r="V21" s="459"/>
      <c r="W21" s="459"/>
      <c r="X21" s="459"/>
      <c r="Y21" s="459"/>
      <c r="Z21" s="459"/>
      <c r="AA21" s="480"/>
      <c r="AB21" s="481"/>
      <c r="AC21" s="482"/>
      <c r="AD21" s="482"/>
      <c r="AE21" s="482" t="s">
        <v>875</v>
      </c>
      <c r="AF21" s="482"/>
      <c r="AJ21" s="483">
        <v>8400</v>
      </c>
      <c r="AL21" s="483">
        <v>8400</v>
      </c>
    </row>
    <row r="22" spans="1:38" s="483" customFormat="1" ht="30.9">
      <c r="A22" s="501"/>
      <c r="B22" s="502"/>
      <c r="C22" s="502"/>
      <c r="D22" s="503"/>
      <c r="E22" s="3370" t="s">
        <v>876</v>
      </c>
      <c r="F22" s="3370" t="s">
        <v>877</v>
      </c>
      <c r="G22" s="3370" t="s">
        <v>878</v>
      </c>
      <c r="H22" s="491" t="s">
        <v>768</v>
      </c>
      <c r="I22" s="491"/>
      <c r="J22" s="491"/>
      <c r="K22" s="491"/>
      <c r="L22" s="500" t="s">
        <v>879</v>
      </c>
      <c r="M22" s="459">
        <f>50*50*2*2</f>
        <v>10000</v>
      </c>
      <c r="N22" s="459"/>
      <c r="O22" s="459"/>
      <c r="P22" s="459"/>
      <c r="Q22" s="459">
        <f>M22</f>
        <v>10000</v>
      </c>
      <c r="R22" s="459"/>
      <c r="S22" s="459"/>
      <c r="T22" s="459"/>
      <c r="U22" s="459"/>
      <c r="V22" s="459"/>
      <c r="W22" s="459"/>
      <c r="X22" s="459"/>
      <c r="Y22" s="459"/>
      <c r="Z22" s="459"/>
      <c r="AA22" s="480"/>
      <c r="AB22" s="481"/>
      <c r="AC22" s="482"/>
      <c r="AD22" s="482"/>
      <c r="AE22" s="482"/>
      <c r="AF22" s="482"/>
      <c r="AL22" s="483">
        <f>SUM(AL21:AL21)</f>
        <v>8400</v>
      </c>
    </row>
    <row r="23" spans="1:38" s="483" customFormat="1" ht="24" customHeight="1">
      <c r="A23" s="501"/>
      <c r="B23" s="502"/>
      <c r="C23" s="502"/>
      <c r="D23" s="503"/>
      <c r="E23" s="3384"/>
      <c r="F23" s="3384"/>
      <c r="G23" s="3384"/>
      <c r="H23" s="491"/>
      <c r="I23" s="491"/>
      <c r="J23" s="491"/>
      <c r="K23" s="491"/>
      <c r="L23" s="500" t="s">
        <v>880</v>
      </c>
      <c r="M23" s="459">
        <f>50*250*2</f>
        <v>25000</v>
      </c>
      <c r="N23" s="459"/>
      <c r="O23" s="459"/>
      <c r="P23" s="459"/>
      <c r="Q23" s="459">
        <f t="shared" ref="Q23:Q29" si="5">M23</f>
        <v>25000</v>
      </c>
      <c r="R23" s="459"/>
      <c r="S23" s="459"/>
      <c r="T23" s="459"/>
      <c r="U23" s="459"/>
      <c r="V23" s="459"/>
      <c r="W23" s="459"/>
      <c r="X23" s="459"/>
      <c r="Y23" s="459"/>
      <c r="Z23" s="459"/>
      <c r="AA23" s="480"/>
      <c r="AB23" s="481"/>
      <c r="AC23" s="482"/>
      <c r="AD23" s="482"/>
      <c r="AE23" s="482"/>
      <c r="AF23" s="482"/>
    </row>
    <row r="24" spans="1:38" s="483" customFormat="1" ht="23.05" customHeight="1">
      <c r="A24" s="501"/>
      <c r="B24" s="502"/>
      <c r="C24" s="502"/>
      <c r="D24" s="503"/>
      <c r="E24" s="3384"/>
      <c r="F24" s="3384"/>
      <c r="G24" s="3384"/>
      <c r="H24" s="491"/>
      <c r="I24" s="491"/>
      <c r="J24" s="491"/>
      <c r="K24" s="491"/>
      <c r="L24" s="500" t="s">
        <v>881</v>
      </c>
      <c r="M24" s="459">
        <f>50*200*1*1</f>
        <v>10000</v>
      </c>
      <c r="N24" s="459"/>
      <c r="O24" s="459"/>
      <c r="P24" s="459"/>
      <c r="Q24" s="459">
        <f t="shared" si="5"/>
        <v>10000</v>
      </c>
      <c r="R24" s="459"/>
      <c r="S24" s="459"/>
      <c r="T24" s="459"/>
      <c r="U24" s="459"/>
      <c r="V24" s="459"/>
      <c r="W24" s="459"/>
      <c r="X24" s="459"/>
      <c r="Y24" s="459"/>
      <c r="Z24" s="459"/>
      <c r="AA24" s="480"/>
      <c r="AB24" s="481"/>
      <c r="AC24" s="482"/>
      <c r="AD24" s="482"/>
      <c r="AE24" s="482"/>
      <c r="AF24" s="482"/>
    </row>
    <row r="25" spans="1:38" s="483" customFormat="1" ht="28" customHeight="1">
      <c r="A25" s="501"/>
      <c r="B25" s="502"/>
      <c r="C25" s="502"/>
      <c r="D25" s="503"/>
      <c r="E25" s="3384"/>
      <c r="F25" s="3384"/>
      <c r="G25" s="3384"/>
      <c r="H25" s="491"/>
      <c r="I25" s="491"/>
      <c r="J25" s="491"/>
      <c r="K25" s="491"/>
      <c r="L25" s="500" t="s">
        <v>882</v>
      </c>
      <c r="M25" s="459"/>
      <c r="N25" s="459"/>
      <c r="O25" s="459"/>
      <c r="P25" s="459"/>
      <c r="Q25" s="459">
        <f t="shared" si="5"/>
        <v>0</v>
      </c>
      <c r="R25" s="459"/>
      <c r="S25" s="459"/>
      <c r="T25" s="459"/>
      <c r="U25" s="459"/>
      <c r="V25" s="459"/>
      <c r="W25" s="459"/>
      <c r="X25" s="459"/>
      <c r="Y25" s="459"/>
      <c r="Z25" s="459"/>
      <c r="AA25" s="480"/>
      <c r="AB25" s="481"/>
      <c r="AC25" s="482"/>
      <c r="AD25" s="482"/>
      <c r="AE25" s="482"/>
      <c r="AF25" s="482"/>
    </row>
    <row r="26" spans="1:38" s="483" customFormat="1" ht="20.05" customHeight="1">
      <c r="A26" s="501"/>
      <c r="B26" s="502"/>
      <c r="C26" s="502"/>
      <c r="D26" s="503"/>
      <c r="E26" s="3384"/>
      <c r="F26" s="3384"/>
      <c r="G26" s="3384"/>
      <c r="H26" s="491"/>
      <c r="I26" s="491"/>
      <c r="J26" s="491"/>
      <c r="K26" s="491"/>
      <c r="L26" s="500" t="s">
        <v>883</v>
      </c>
      <c r="M26" s="459">
        <f>3*600</f>
        <v>1800</v>
      </c>
      <c r="N26" s="459"/>
      <c r="O26" s="459"/>
      <c r="P26" s="459"/>
      <c r="Q26" s="459">
        <f t="shared" si="5"/>
        <v>1800</v>
      </c>
      <c r="R26" s="459"/>
      <c r="S26" s="459"/>
      <c r="T26" s="459"/>
      <c r="U26" s="459"/>
      <c r="V26" s="459"/>
      <c r="W26" s="459"/>
      <c r="X26" s="459"/>
      <c r="Y26" s="459"/>
      <c r="Z26" s="459"/>
      <c r="AA26" s="480"/>
      <c r="AB26" s="481"/>
      <c r="AC26" s="482"/>
      <c r="AD26" s="482"/>
      <c r="AE26" s="482"/>
      <c r="AF26" s="482"/>
    </row>
    <row r="27" spans="1:38" s="483" customFormat="1" ht="20.05" customHeight="1">
      <c r="A27" s="501"/>
      <c r="B27" s="502"/>
      <c r="C27" s="502"/>
      <c r="D27" s="503"/>
      <c r="E27" s="3384"/>
      <c r="F27" s="3384"/>
      <c r="G27" s="3384"/>
      <c r="H27" s="491"/>
      <c r="I27" s="491"/>
      <c r="J27" s="491"/>
      <c r="K27" s="491"/>
      <c r="L27" s="500" t="s">
        <v>884</v>
      </c>
      <c r="M27" s="459">
        <f>3*7*600</f>
        <v>12600</v>
      </c>
      <c r="N27" s="459"/>
      <c r="O27" s="459"/>
      <c r="P27" s="459"/>
      <c r="Q27" s="459">
        <f t="shared" si="5"/>
        <v>12600</v>
      </c>
      <c r="R27" s="459"/>
      <c r="S27" s="459"/>
      <c r="T27" s="459"/>
      <c r="U27" s="459"/>
      <c r="V27" s="459"/>
      <c r="W27" s="459"/>
      <c r="X27" s="459"/>
      <c r="Y27" s="459"/>
      <c r="Z27" s="459"/>
      <c r="AA27" s="480"/>
      <c r="AB27" s="481"/>
      <c r="AC27" s="482"/>
      <c r="AD27" s="482"/>
      <c r="AE27" s="482"/>
      <c r="AF27" s="482"/>
    </row>
    <row r="28" spans="1:38" s="483" customFormat="1" ht="25" customHeight="1">
      <c r="A28" s="501"/>
      <c r="B28" s="502"/>
      <c r="C28" s="502"/>
      <c r="D28" s="503"/>
      <c r="E28" s="3384"/>
      <c r="F28" s="3384"/>
      <c r="G28" s="3384"/>
      <c r="H28" s="491"/>
      <c r="I28" s="491"/>
      <c r="J28" s="491"/>
      <c r="K28" s="491"/>
      <c r="L28" s="500" t="s">
        <v>885</v>
      </c>
      <c r="M28" s="459">
        <f>1000*18*1</f>
        <v>18000</v>
      </c>
      <c r="N28" s="459"/>
      <c r="O28" s="459"/>
      <c r="P28" s="459"/>
      <c r="Q28" s="459">
        <f t="shared" si="5"/>
        <v>18000</v>
      </c>
      <c r="R28" s="459"/>
      <c r="S28" s="459"/>
      <c r="T28" s="459"/>
      <c r="U28" s="459"/>
      <c r="V28" s="459"/>
      <c r="W28" s="459"/>
      <c r="X28" s="459"/>
      <c r="Y28" s="459"/>
      <c r="Z28" s="459"/>
      <c r="AA28" s="480"/>
      <c r="AB28" s="481"/>
      <c r="AC28" s="482"/>
      <c r="AD28" s="482"/>
      <c r="AE28" s="482"/>
      <c r="AF28" s="482"/>
    </row>
    <row r="29" spans="1:38" s="483" customFormat="1" ht="18.55" customHeight="1">
      <c r="A29" s="501"/>
      <c r="B29" s="502"/>
      <c r="C29" s="502"/>
      <c r="D29" s="503"/>
      <c r="E29" s="3371"/>
      <c r="F29" s="3371"/>
      <c r="G29" s="3371"/>
      <c r="H29" s="491"/>
      <c r="I29" s="491"/>
      <c r="J29" s="491"/>
      <c r="K29" s="491"/>
      <c r="L29" s="500" t="s">
        <v>886</v>
      </c>
      <c r="M29" s="459">
        <v>1000</v>
      </c>
      <c r="N29" s="459"/>
      <c r="O29" s="459"/>
      <c r="P29" s="459"/>
      <c r="Q29" s="459">
        <f t="shared" si="5"/>
        <v>1000</v>
      </c>
      <c r="R29" s="459"/>
      <c r="S29" s="459"/>
      <c r="T29" s="459"/>
      <c r="U29" s="459"/>
      <c r="V29" s="459"/>
      <c r="W29" s="459"/>
      <c r="X29" s="459"/>
      <c r="Y29" s="459"/>
      <c r="Z29" s="459"/>
      <c r="AA29" s="480"/>
      <c r="AB29" s="481"/>
      <c r="AC29" s="482"/>
      <c r="AD29" s="482"/>
      <c r="AE29" s="482"/>
      <c r="AF29" s="482"/>
    </row>
    <row r="30" spans="1:38" s="483" customFormat="1" ht="30.9">
      <c r="A30" s="501"/>
      <c r="B30" s="502"/>
      <c r="C30" s="502"/>
      <c r="D30" s="503"/>
      <c r="E30" s="3370" t="s">
        <v>887</v>
      </c>
      <c r="F30" s="3370" t="s">
        <v>888</v>
      </c>
      <c r="G30" s="3370" t="s">
        <v>889</v>
      </c>
      <c r="H30" s="491"/>
      <c r="I30" s="491"/>
      <c r="J30" s="491"/>
      <c r="K30" s="491"/>
      <c r="L30" s="500" t="s">
        <v>890</v>
      </c>
      <c r="M30" s="459">
        <f>36*50*2*1</f>
        <v>3600</v>
      </c>
      <c r="N30" s="459"/>
      <c r="O30" s="459"/>
      <c r="P30" s="459"/>
      <c r="Q30" s="459"/>
      <c r="R30" s="459"/>
      <c r="S30" s="459">
        <f>M30</f>
        <v>3600</v>
      </c>
      <c r="T30" s="459"/>
      <c r="U30" s="459"/>
      <c r="V30" s="459"/>
      <c r="W30" s="459"/>
      <c r="X30" s="459"/>
      <c r="Y30" s="459"/>
      <c r="Z30" s="459"/>
      <c r="AA30" s="480"/>
      <c r="AB30" s="481"/>
      <c r="AC30" s="482"/>
      <c r="AD30" s="482"/>
      <c r="AE30" s="482"/>
      <c r="AF30" s="482"/>
    </row>
    <row r="31" spans="1:38" s="483" customFormat="1" ht="26.5" customHeight="1">
      <c r="A31" s="501"/>
      <c r="B31" s="502"/>
      <c r="C31" s="502"/>
      <c r="D31" s="503"/>
      <c r="E31" s="3384"/>
      <c r="F31" s="3384"/>
      <c r="G31" s="3384"/>
      <c r="H31" s="491"/>
      <c r="I31" s="491"/>
      <c r="J31" s="491"/>
      <c r="K31" s="491"/>
      <c r="L31" s="500" t="s">
        <v>891</v>
      </c>
      <c r="M31" s="459">
        <f>36*250*1*1</f>
        <v>9000</v>
      </c>
      <c r="N31" s="459"/>
      <c r="O31" s="459"/>
      <c r="P31" s="459"/>
      <c r="Q31" s="459"/>
      <c r="R31" s="459"/>
      <c r="S31" s="459">
        <f t="shared" ref="S31:S32" si="6">M31</f>
        <v>9000</v>
      </c>
      <c r="T31" s="459"/>
      <c r="U31" s="459"/>
      <c r="V31" s="459"/>
      <c r="W31" s="459"/>
      <c r="X31" s="459"/>
      <c r="Y31" s="459"/>
      <c r="Z31" s="459"/>
      <c r="AA31" s="480"/>
      <c r="AB31" s="481"/>
      <c r="AC31" s="482"/>
      <c r="AD31" s="482"/>
      <c r="AE31" s="482"/>
      <c r="AF31" s="482"/>
    </row>
    <row r="32" spans="1:38" s="483" customFormat="1" ht="18.55" customHeight="1">
      <c r="A32" s="484"/>
      <c r="B32" s="485"/>
      <c r="C32" s="485"/>
      <c r="D32" s="493"/>
      <c r="E32" s="3371"/>
      <c r="F32" s="3371"/>
      <c r="G32" s="3371"/>
      <c r="H32" s="491"/>
      <c r="I32" s="491"/>
      <c r="J32" s="491"/>
      <c r="K32" s="491"/>
      <c r="L32" s="500" t="s">
        <v>886</v>
      </c>
      <c r="M32" s="459">
        <v>988</v>
      </c>
      <c r="N32" s="459"/>
      <c r="O32" s="459"/>
      <c r="P32" s="459"/>
      <c r="Q32" s="459"/>
      <c r="R32" s="459"/>
      <c r="S32" s="459">
        <f t="shared" si="6"/>
        <v>988</v>
      </c>
      <c r="T32" s="459"/>
      <c r="U32" s="459"/>
      <c r="V32" s="459"/>
      <c r="W32" s="459"/>
      <c r="X32" s="459"/>
      <c r="Y32" s="459"/>
      <c r="Z32" s="459"/>
      <c r="AA32" s="480"/>
      <c r="AB32" s="481"/>
      <c r="AC32" s="482"/>
      <c r="AD32" s="482"/>
      <c r="AE32" s="482"/>
      <c r="AF32" s="482"/>
    </row>
    <row r="33" spans="1:34" s="447" customFormat="1" ht="20.05" customHeight="1">
      <c r="A33" s="462">
        <v>2</v>
      </c>
      <c r="B33" s="462">
        <v>6</v>
      </c>
      <c r="C33" s="462">
        <v>16</v>
      </c>
      <c r="D33" s="462">
        <v>5</v>
      </c>
      <c r="E33" s="463" t="s">
        <v>892</v>
      </c>
      <c r="F33" s="463"/>
      <c r="G33" s="464"/>
      <c r="H33" s="465"/>
      <c r="I33" s="465"/>
      <c r="J33" s="465"/>
      <c r="K33" s="465"/>
      <c r="L33" s="465"/>
      <c r="M33" s="466"/>
      <c r="N33" s="466">
        <f>SUM(M34:M35)</f>
        <v>4800</v>
      </c>
      <c r="O33" s="813">
        <f>SUM(O34:O35)</f>
        <v>0</v>
      </c>
      <c r="P33" s="813">
        <f t="shared" ref="P33:Z33" si="7">SUM(P34:P35)</f>
        <v>0</v>
      </c>
      <c r="Q33" s="813">
        <f t="shared" si="7"/>
        <v>0</v>
      </c>
      <c r="R33" s="813">
        <f t="shared" si="7"/>
        <v>0</v>
      </c>
      <c r="S33" s="813">
        <f t="shared" si="7"/>
        <v>0</v>
      </c>
      <c r="T33" s="813">
        <f t="shared" si="7"/>
        <v>0</v>
      </c>
      <c r="U33" s="813">
        <f t="shared" si="7"/>
        <v>4800</v>
      </c>
      <c r="V33" s="813">
        <f t="shared" si="7"/>
        <v>0</v>
      </c>
      <c r="W33" s="813">
        <f t="shared" si="7"/>
        <v>0</v>
      </c>
      <c r="X33" s="813">
        <f t="shared" si="7"/>
        <v>0</v>
      </c>
      <c r="Y33" s="813">
        <f t="shared" si="7"/>
        <v>0</v>
      </c>
      <c r="Z33" s="813">
        <f t="shared" si="7"/>
        <v>0</v>
      </c>
      <c r="AA33" s="465" t="s">
        <v>1241</v>
      </c>
      <c r="AB33" s="468" t="s">
        <v>893</v>
      </c>
      <c r="AC33" s="469">
        <f>SUBTOTAL(9,O33:Q33)</f>
        <v>0</v>
      </c>
      <c r="AD33" s="469">
        <f>SUBTOTAL(9,R33:T33)</f>
        <v>0</v>
      </c>
      <c r="AE33" s="469">
        <f>SUBTOTAL(9,U33:W33)</f>
        <v>4800</v>
      </c>
      <c r="AF33" s="469">
        <f>SUBTOTAL(9,X33:Z33)</f>
        <v>0</v>
      </c>
      <c r="AG33" s="470">
        <f>AC33+AD33+AE33+AF33</f>
        <v>4800</v>
      </c>
      <c r="AH33" s="471">
        <f>N33-AG33</f>
        <v>0</v>
      </c>
    </row>
    <row r="34" spans="1:34" s="483" customFormat="1" ht="36.549999999999997" customHeight="1">
      <c r="A34" s="472"/>
      <c r="B34" s="473"/>
      <c r="C34" s="473"/>
      <c r="D34" s="490"/>
      <c r="E34" s="3370" t="s">
        <v>894</v>
      </c>
      <c r="F34" s="3370" t="s">
        <v>895</v>
      </c>
      <c r="G34" s="3379" t="s">
        <v>896</v>
      </c>
      <c r="H34" s="491" t="s">
        <v>239</v>
      </c>
      <c r="I34" s="491" t="s">
        <v>239</v>
      </c>
      <c r="J34" s="491" t="s">
        <v>239</v>
      </c>
      <c r="K34" s="491"/>
      <c r="L34" s="500" t="s">
        <v>897</v>
      </c>
      <c r="M34" s="459">
        <f>10*25*2*4</f>
        <v>2000</v>
      </c>
      <c r="N34" s="459"/>
      <c r="O34" s="459"/>
      <c r="P34" s="459"/>
      <c r="Q34" s="459"/>
      <c r="R34" s="459"/>
      <c r="S34" s="459"/>
      <c r="T34" s="459"/>
      <c r="U34" s="459">
        <v>2000</v>
      </c>
      <c r="V34" s="459"/>
      <c r="W34" s="459"/>
      <c r="X34" s="459"/>
      <c r="Y34" s="459"/>
      <c r="Z34" s="459"/>
      <c r="AA34" s="480"/>
      <c r="AB34" s="481"/>
      <c r="AC34" s="482"/>
      <c r="AD34" s="482"/>
      <c r="AE34" s="482"/>
      <c r="AF34" s="482"/>
    </row>
    <row r="35" spans="1:34" s="483" customFormat="1" ht="47.5" customHeight="1">
      <c r="A35" s="493"/>
      <c r="B35" s="493"/>
      <c r="C35" s="493"/>
      <c r="D35" s="493"/>
      <c r="E35" s="3371"/>
      <c r="F35" s="3371"/>
      <c r="G35" s="3380"/>
      <c r="H35" s="494"/>
      <c r="I35" s="494"/>
      <c r="J35" s="494"/>
      <c r="K35" s="494"/>
      <c r="L35" s="500" t="s">
        <v>898</v>
      </c>
      <c r="M35" s="459">
        <f>10*70*4</f>
        <v>2800</v>
      </c>
      <c r="N35" s="504"/>
      <c r="O35" s="459"/>
      <c r="P35" s="459"/>
      <c r="Q35" s="459"/>
      <c r="R35" s="459"/>
      <c r="S35" s="459"/>
      <c r="T35" s="459"/>
      <c r="U35" s="459">
        <v>2800</v>
      </c>
      <c r="V35" s="459"/>
      <c r="W35" s="459"/>
      <c r="X35" s="459"/>
      <c r="Y35" s="459"/>
      <c r="Z35" s="459"/>
      <c r="AA35" s="458"/>
      <c r="AB35" s="505"/>
      <c r="AC35" s="482"/>
      <c r="AD35" s="482"/>
      <c r="AE35" s="482"/>
      <c r="AF35" s="482"/>
    </row>
    <row r="36" spans="1:34" s="447" customFormat="1" ht="24" customHeight="1">
      <c r="A36" s="462"/>
      <c r="B36" s="462"/>
      <c r="C36" s="462"/>
      <c r="D36" s="462">
        <v>6</v>
      </c>
      <c r="E36" s="463" t="s">
        <v>899</v>
      </c>
      <c r="F36" s="463"/>
      <c r="G36" s="464"/>
      <c r="H36" s="465"/>
      <c r="I36" s="465"/>
      <c r="J36" s="465"/>
      <c r="K36" s="465"/>
      <c r="L36" s="465"/>
      <c r="M36" s="466"/>
      <c r="N36" s="466">
        <f>SUM(M37:M41)</f>
        <v>25000</v>
      </c>
      <c r="O36" s="466">
        <f t="shared" ref="O36:Q36" si="8">SUM(O37:O41)</f>
        <v>0</v>
      </c>
      <c r="P36" s="466">
        <f t="shared" si="8"/>
        <v>3470</v>
      </c>
      <c r="Q36" s="467">
        <f t="shared" si="8"/>
        <v>0</v>
      </c>
      <c r="R36" s="467">
        <f>SUM(R37:R41)</f>
        <v>19830</v>
      </c>
      <c r="S36" s="467">
        <f t="shared" ref="S36:Z36" si="9">SUM(S37:S41)</f>
        <v>850</v>
      </c>
      <c r="T36" s="467">
        <f t="shared" si="9"/>
        <v>0</v>
      </c>
      <c r="U36" s="467">
        <f t="shared" si="9"/>
        <v>0</v>
      </c>
      <c r="V36" s="467">
        <f t="shared" si="9"/>
        <v>0</v>
      </c>
      <c r="W36" s="467">
        <f t="shared" si="9"/>
        <v>0</v>
      </c>
      <c r="X36" s="467">
        <f t="shared" si="9"/>
        <v>850</v>
      </c>
      <c r="Y36" s="467">
        <f t="shared" si="9"/>
        <v>0</v>
      </c>
      <c r="Z36" s="467">
        <f t="shared" si="9"/>
        <v>0</v>
      </c>
      <c r="AA36" s="465" t="s">
        <v>1241</v>
      </c>
      <c r="AB36" s="468" t="s">
        <v>900</v>
      </c>
      <c r="AC36" s="469">
        <f>SUBTOTAL(9,O36:Q36)</f>
        <v>3470</v>
      </c>
      <c r="AD36" s="469">
        <f>SUBTOTAL(9,R36:T36)</f>
        <v>20680</v>
      </c>
      <c r="AE36" s="469">
        <f>SUBTOTAL(9,U36:W36)</f>
        <v>0</v>
      </c>
      <c r="AF36" s="469">
        <f>SUBTOTAL(9,X36:Z36)</f>
        <v>850</v>
      </c>
      <c r="AG36" s="470">
        <f>AC36+AD36+AE36+AF36</f>
        <v>25000</v>
      </c>
      <c r="AH36" s="471">
        <f>N36-AG36</f>
        <v>0</v>
      </c>
    </row>
    <row r="37" spans="1:34" ht="30.9">
      <c r="A37" s="506"/>
      <c r="B37" s="506"/>
      <c r="C37" s="506"/>
      <c r="D37" s="506"/>
      <c r="E37" s="3381" t="s">
        <v>901</v>
      </c>
      <c r="F37" s="3381" t="s">
        <v>902</v>
      </c>
      <c r="G37" s="3381" t="s">
        <v>903</v>
      </c>
      <c r="H37" s="507"/>
      <c r="I37" s="507" t="s">
        <v>239</v>
      </c>
      <c r="J37" s="507"/>
      <c r="K37" s="507"/>
      <c r="L37" s="508" t="s">
        <v>904</v>
      </c>
      <c r="M37" s="509">
        <f>34*25*1</f>
        <v>850</v>
      </c>
      <c r="N37" s="510"/>
      <c r="O37" s="509"/>
      <c r="P37" s="509"/>
      <c r="Q37" s="509"/>
      <c r="R37" s="509">
        <f t="shared" ref="R37:R39" si="10">M37</f>
        <v>850</v>
      </c>
      <c r="S37" s="511"/>
      <c r="T37" s="511"/>
      <c r="U37" s="511"/>
      <c r="V37" s="511"/>
      <c r="W37" s="509"/>
      <c r="X37" s="511"/>
      <c r="Y37" s="509"/>
      <c r="Z37" s="509"/>
      <c r="AA37" s="512"/>
      <c r="AB37" s="513"/>
      <c r="AC37" s="452"/>
      <c r="AD37" s="452"/>
      <c r="AE37" s="452"/>
      <c r="AF37" s="452"/>
    </row>
    <row r="38" spans="1:34" ht="20.6">
      <c r="A38" s="506"/>
      <c r="B38" s="506"/>
      <c r="C38" s="506"/>
      <c r="D38" s="506"/>
      <c r="E38" s="3382"/>
      <c r="F38" s="3382"/>
      <c r="G38" s="3382"/>
      <c r="H38" s="507"/>
      <c r="I38" s="507"/>
      <c r="J38" s="507"/>
      <c r="K38" s="507"/>
      <c r="L38" s="508" t="s">
        <v>905</v>
      </c>
      <c r="M38" s="509">
        <f>34*70*1</f>
        <v>2380</v>
      </c>
      <c r="N38" s="510"/>
      <c r="O38" s="509"/>
      <c r="P38" s="509"/>
      <c r="Q38" s="509"/>
      <c r="R38" s="509">
        <f t="shared" si="10"/>
        <v>2380</v>
      </c>
      <c r="S38" s="511"/>
      <c r="T38" s="511"/>
      <c r="U38" s="511"/>
      <c r="V38" s="511"/>
      <c r="W38" s="509"/>
      <c r="X38" s="511"/>
      <c r="Y38" s="509"/>
      <c r="Z38" s="509"/>
      <c r="AA38" s="512"/>
      <c r="AB38" s="513"/>
      <c r="AC38" s="452"/>
      <c r="AD38" s="452"/>
      <c r="AE38" s="452"/>
      <c r="AF38" s="452"/>
    </row>
    <row r="39" spans="1:34" ht="51.55" customHeight="1">
      <c r="A39" s="506"/>
      <c r="B39" s="506"/>
      <c r="C39" s="506"/>
      <c r="D39" s="506"/>
      <c r="E39" s="3383"/>
      <c r="F39" s="3383"/>
      <c r="G39" s="3383"/>
      <c r="H39" s="507"/>
      <c r="I39" s="507"/>
      <c r="J39" s="507"/>
      <c r="K39" s="507"/>
      <c r="L39" s="508" t="s">
        <v>906</v>
      </c>
      <c r="M39" s="509">
        <f>1200+1000+(800*18)</f>
        <v>16600</v>
      </c>
      <c r="N39" s="510"/>
      <c r="O39" s="509"/>
      <c r="P39" s="509"/>
      <c r="Q39" s="509"/>
      <c r="R39" s="509">
        <f t="shared" si="10"/>
        <v>16600</v>
      </c>
      <c r="S39" s="511"/>
      <c r="T39" s="511"/>
      <c r="U39" s="511"/>
      <c r="V39" s="511"/>
      <c r="W39" s="509"/>
      <c r="X39" s="511"/>
      <c r="Y39" s="509"/>
      <c r="Z39" s="509"/>
      <c r="AA39" s="512"/>
      <c r="AB39" s="513"/>
      <c r="AC39" s="452"/>
      <c r="AD39" s="452"/>
      <c r="AE39" s="452"/>
      <c r="AF39" s="452"/>
    </row>
    <row r="40" spans="1:34" ht="45" customHeight="1">
      <c r="A40" s="506"/>
      <c r="B40" s="506"/>
      <c r="C40" s="506"/>
      <c r="D40" s="506"/>
      <c r="E40" s="508" t="s">
        <v>907</v>
      </c>
      <c r="F40" s="508" t="s">
        <v>908</v>
      </c>
      <c r="G40" s="514" t="s">
        <v>909</v>
      </c>
      <c r="H40" s="507"/>
      <c r="I40" s="507"/>
      <c r="J40" s="480" t="s">
        <v>239</v>
      </c>
      <c r="K40" s="507"/>
      <c r="L40" s="508" t="s">
        <v>910</v>
      </c>
      <c r="M40" s="509">
        <f>34*25*1*2</f>
        <v>1700</v>
      </c>
      <c r="N40" s="509"/>
      <c r="O40" s="509"/>
      <c r="P40" s="509"/>
      <c r="Q40" s="509"/>
      <c r="R40" s="511"/>
      <c r="S40" s="509">
        <f>M40/2</f>
        <v>850</v>
      </c>
      <c r="T40" s="441"/>
      <c r="U40" s="511"/>
      <c r="V40" s="511"/>
      <c r="W40" s="509"/>
      <c r="X40" s="509">
        <f>M40/2</f>
        <v>850</v>
      </c>
      <c r="Y40" s="509"/>
      <c r="Z40" s="509"/>
      <c r="AA40" s="512"/>
      <c r="AB40" s="513"/>
      <c r="AC40" s="452"/>
      <c r="AD40" s="452"/>
      <c r="AE40" s="452"/>
      <c r="AF40" s="452"/>
    </row>
    <row r="41" spans="1:34" ht="57.55" customHeight="1">
      <c r="A41" s="506"/>
      <c r="B41" s="506"/>
      <c r="C41" s="506"/>
      <c r="D41" s="506"/>
      <c r="E41" s="508" t="s">
        <v>911</v>
      </c>
      <c r="F41" s="508"/>
      <c r="G41" s="514"/>
      <c r="H41" s="507"/>
      <c r="I41" s="507"/>
      <c r="J41" s="507"/>
      <c r="K41" s="507"/>
      <c r="L41" s="508" t="s">
        <v>912</v>
      </c>
      <c r="M41" s="509">
        <v>3470</v>
      </c>
      <c r="N41" s="510"/>
      <c r="O41" s="509"/>
      <c r="P41" s="509">
        <f>M41</f>
        <v>3470</v>
      </c>
      <c r="Q41" s="509"/>
      <c r="R41" s="441"/>
      <c r="S41" s="511"/>
      <c r="T41" s="511"/>
      <c r="U41" s="511"/>
      <c r="V41" s="511"/>
      <c r="W41" s="509"/>
      <c r="X41" s="511"/>
      <c r="Y41" s="509"/>
      <c r="Z41" s="509"/>
      <c r="AA41" s="512"/>
      <c r="AB41" s="513"/>
      <c r="AC41" s="452"/>
      <c r="AD41" s="452"/>
      <c r="AE41" s="452"/>
      <c r="AF41" s="452"/>
    </row>
    <row r="42" spans="1:34" s="447" customFormat="1" ht="24" customHeight="1">
      <c r="A42" s="462">
        <v>2</v>
      </c>
      <c r="B42" s="462">
        <v>6</v>
      </c>
      <c r="C42" s="462">
        <v>16</v>
      </c>
      <c r="D42" s="462">
        <v>7</v>
      </c>
      <c r="E42" s="463" t="s">
        <v>913</v>
      </c>
      <c r="F42" s="463"/>
      <c r="G42" s="464"/>
      <c r="H42" s="465"/>
      <c r="I42" s="465"/>
      <c r="J42" s="465"/>
      <c r="K42" s="465"/>
      <c r="L42" s="465"/>
      <c r="M42" s="466" t="s">
        <v>914</v>
      </c>
      <c r="N42" s="466">
        <v>0</v>
      </c>
      <c r="O42" s="466"/>
      <c r="P42" s="466"/>
      <c r="Q42" s="467"/>
      <c r="R42" s="467"/>
      <c r="S42" s="467"/>
      <c r="T42" s="467"/>
      <c r="U42" s="467"/>
      <c r="V42" s="467"/>
      <c r="W42" s="467"/>
      <c r="X42" s="467"/>
      <c r="Y42" s="467"/>
      <c r="Z42" s="467"/>
      <c r="AA42" s="465" t="s">
        <v>915</v>
      </c>
      <c r="AB42" s="468" t="s">
        <v>914</v>
      </c>
      <c r="AC42" s="469">
        <f>SUBTOTAL(9,O42:Q42)</f>
        <v>0</v>
      </c>
      <c r="AD42" s="469">
        <f>SUBTOTAL(9,R42:T42)</f>
        <v>0</v>
      </c>
      <c r="AE42" s="469">
        <f>SUBTOTAL(9,U42:W42)</f>
        <v>0</v>
      </c>
      <c r="AF42" s="469">
        <f>SUBTOTAL(9,X42:Z42)</f>
        <v>0</v>
      </c>
      <c r="AG42" s="470">
        <f>AC42+AD42+AE42+AF42</f>
        <v>0</v>
      </c>
      <c r="AH42" s="471">
        <f>N42-AG42</f>
        <v>0</v>
      </c>
    </row>
    <row r="43" spans="1:34" ht="113.15">
      <c r="A43" s="506"/>
      <c r="B43" s="506"/>
      <c r="C43" s="506"/>
      <c r="D43" s="506"/>
      <c r="E43" s="508" t="s">
        <v>916</v>
      </c>
      <c r="F43" s="508" t="s">
        <v>917</v>
      </c>
      <c r="G43" s="508" t="s">
        <v>918</v>
      </c>
      <c r="H43" s="507"/>
      <c r="I43" s="507" t="s">
        <v>239</v>
      </c>
      <c r="J43" s="507"/>
      <c r="K43" s="507"/>
      <c r="L43" s="508" t="s">
        <v>919</v>
      </c>
      <c r="M43" s="509"/>
      <c r="N43" s="510"/>
      <c r="O43" s="509"/>
      <c r="P43" s="509"/>
      <c r="Q43" s="509"/>
      <c r="R43" s="509"/>
      <c r="S43" s="509" t="s">
        <v>768</v>
      </c>
      <c r="T43" s="509" t="s">
        <v>239</v>
      </c>
      <c r="U43" s="509" t="s">
        <v>239</v>
      </c>
      <c r="V43" s="509" t="s">
        <v>239</v>
      </c>
      <c r="W43" s="509"/>
      <c r="X43" s="509"/>
      <c r="Y43" s="509"/>
      <c r="Z43" s="509"/>
      <c r="AA43" s="512"/>
      <c r="AB43" s="513"/>
      <c r="AC43" s="452"/>
      <c r="AD43" s="452"/>
      <c r="AE43" s="452"/>
      <c r="AF43" s="452"/>
    </row>
    <row r="44" spans="1:34" ht="51.45">
      <c r="A44" s="506"/>
      <c r="B44" s="506"/>
      <c r="C44" s="506"/>
      <c r="D44" s="506"/>
      <c r="E44" s="508" t="s">
        <v>920</v>
      </c>
      <c r="F44" s="508"/>
      <c r="G44" s="508"/>
      <c r="H44" s="507"/>
      <c r="I44" s="507" t="s">
        <v>239</v>
      </c>
      <c r="J44" s="507"/>
      <c r="K44" s="507"/>
      <c r="L44" s="508" t="s">
        <v>919</v>
      </c>
      <c r="M44" s="509"/>
      <c r="N44" s="510"/>
      <c r="O44" s="509"/>
      <c r="P44" s="509"/>
      <c r="Q44" s="509"/>
      <c r="R44" s="509"/>
      <c r="S44" s="509"/>
      <c r="T44" s="509"/>
      <c r="U44" s="509"/>
      <c r="V44" s="509"/>
      <c r="W44" s="509"/>
      <c r="X44" s="509"/>
      <c r="Y44" s="509"/>
      <c r="Z44" s="509"/>
      <c r="AA44" s="512"/>
      <c r="AB44" s="513"/>
      <c r="AC44" s="452"/>
      <c r="AD44" s="452"/>
      <c r="AE44" s="452"/>
      <c r="AF44" s="452"/>
    </row>
    <row r="45" spans="1:34" s="447" customFormat="1" ht="20.05" customHeight="1">
      <c r="A45" s="462">
        <v>1</v>
      </c>
      <c r="B45" s="462">
        <v>1</v>
      </c>
      <c r="C45" s="462">
        <v>1</v>
      </c>
      <c r="D45" s="462">
        <v>8</v>
      </c>
      <c r="E45" s="463" t="s">
        <v>921</v>
      </c>
      <c r="F45" s="463"/>
      <c r="G45" s="464"/>
      <c r="H45" s="465"/>
      <c r="I45" s="465"/>
      <c r="J45" s="465"/>
      <c r="K45" s="465"/>
      <c r="L45" s="465"/>
      <c r="M45" s="466"/>
      <c r="N45" s="466">
        <f>SUM(M46:M49)</f>
        <v>52200</v>
      </c>
      <c r="O45" s="466">
        <f>SUM(O46:O49)</f>
        <v>0</v>
      </c>
      <c r="P45" s="466">
        <f t="shared" ref="P45:Z45" si="11">SUM(P46:P49)</f>
        <v>0</v>
      </c>
      <c r="Q45" s="466">
        <f t="shared" si="11"/>
        <v>0</v>
      </c>
      <c r="R45" s="466">
        <f t="shared" si="11"/>
        <v>0</v>
      </c>
      <c r="S45" s="466">
        <f t="shared" si="11"/>
        <v>0</v>
      </c>
      <c r="T45" s="466">
        <f t="shared" si="11"/>
        <v>52200</v>
      </c>
      <c r="U45" s="466">
        <f t="shared" si="11"/>
        <v>0</v>
      </c>
      <c r="V45" s="466">
        <f t="shared" si="11"/>
        <v>0</v>
      </c>
      <c r="W45" s="466">
        <f t="shared" si="11"/>
        <v>0</v>
      </c>
      <c r="X45" s="466">
        <f t="shared" si="11"/>
        <v>0</v>
      </c>
      <c r="Y45" s="466">
        <f t="shared" si="11"/>
        <v>0</v>
      </c>
      <c r="Z45" s="466">
        <f t="shared" si="11"/>
        <v>0</v>
      </c>
      <c r="AA45" s="465" t="s">
        <v>1241</v>
      </c>
      <c r="AB45" s="468" t="s">
        <v>853</v>
      </c>
      <c r="AC45" s="469">
        <f>SUBTOTAL(9,O45:Q45)</f>
        <v>0</v>
      </c>
      <c r="AD45" s="469">
        <f>SUBTOTAL(9,R45:T45)</f>
        <v>52200</v>
      </c>
      <c r="AE45" s="469">
        <f>SUBTOTAL(9,U45:W45)</f>
        <v>0</v>
      </c>
      <c r="AF45" s="469">
        <f>SUBTOTAL(9,X45:Z45)</f>
        <v>0</v>
      </c>
      <c r="AG45" s="470">
        <f>AC45+AD45+AE45+AF45</f>
        <v>52200</v>
      </c>
      <c r="AH45" s="471">
        <f>N45-AG45</f>
        <v>0</v>
      </c>
    </row>
    <row r="46" spans="1:34" ht="36.549999999999997" customHeight="1">
      <c r="A46" s="506"/>
      <c r="B46" s="506"/>
      <c r="C46" s="506"/>
      <c r="D46" s="506"/>
      <c r="E46" s="3384" t="s">
        <v>923</v>
      </c>
      <c r="F46" s="3384" t="s">
        <v>924</v>
      </c>
      <c r="G46" s="3387" t="s">
        <v>925</v>
      </c>
      <c r="H46" s="515"/>
      <c r="I46" s="516" t="s">
        <v>239</v>
      </c>
      <c r="J46" s="515"/>
      <c r="K46" s="517"/>
      <c r="L46" s="478" t="s">
        <v>926</v>
      </c>
      <c r="M46" s="479">
        <f>3*(40*70*2)</f>
        <v>16800</v>
      </c>
      <c r="N46" s="518"/>
      <c r="O46" s="504"/>
      <c r="P46" s="504"/>
      <c r="Q46" s="504"/>
      <c r="R46" s="479"/>
      <c r="S46" s="479"/>
      <c r="T46" s="479">
        <v>16800</v>
      </c>
      <c r="U46" s="479"/>
      <c r="V46" s="479"/>
      <c r="W46" s="479"/>
      <c r="X46" s="479"/>
      <c r="Y46" s="479"/>
      <c r="Z46" s="479"/>
      <c r="AA46" s="457" t="s">
        <v>922</v>
      </c>
      <c r="AB46" s="481"/>
      <c r="AC46" s="452"/>
      <c r="AD46" s="452"/>
      <c r="AE46" s="452"/>
      <c r="AF46" s="452"/>
    </row>
    <row r="47" spans="1:34" ht="30.9">
      <c r="A47" s="506"/>
      <c r="B47" s="506"/>
      <c r="C47" s="506"/>
      <c r="D47" s="506"/>
      <c r="E47" s="3384"/>
      <c r="F47" s="3384"/>
      <c r="G47" s="3387"/>
      <c r="H47" s="519"/>
      <c r="I47" s="519"/>
      <c r="J47" s="519"/>
      <c r="K47" s="516"/>
      <c r="L47" s="520" t="s">
        <v>927</v>
      </c>
      <c r="M47" s="479">
        <f>3*(40*25*2*2)</f>
        <v>12000</v>
      </c>
      <c r="N47" s="479"/>
      <c r="O47" s="479"/>
      <c r="P47" s="479"/>
      <c r="Q47" s="479"/>
      <c r="R47" s="479"/>
      <c r="S47" s="479"/>
      <c r="T47" s="479">
        <v>12000</v>
      </c>
      <c r="U47" s="518"/>
      <c r="V47" s="479"/>
      <c r="W47" s="479"/>
      <c r="X47" s="479"/>
      <c r="Y47" s="479"/>
      <c r="Z47" s="479"/>
      <c r="AA47" s="480"/>
      <c r="AB47" s="481"/>
      <c r="AC47" s="452"/>
      <c r="AD47" s="452"/>
      <c r="AE47" s="452"/>
      <c r="AF47" s="452"/>
    </row>
    <row r="48" spans="1:34" ht="30.9">
      <c r="A48" s="506"/>
      <c r="B48" s="506"/>
      <c r="C48" s="506"/>
      <c r="D48" s="506"/>
      <c r="E48" s="3384"/>
      <c r="F48" s="3384"/>
      <c r="G48" s="3387"/>
      <c r="H48" s="519"/>
      <c r="I48" s="519"/>
      <c r="J48" s="519"/>
      <c r="K48" s="521"/>
      <c r="L48" s="508" t="s">
        <v>928</v>
      </c>
      <c r="M48" s="522">
        <f>1*5*600*3</f>
        <v>9000</v>
      </c>
      <c r="N48" s="479"/>
      <c r="O48" s="479"/>
      <c r="P48" s="479"/>
      <c r="Q48" s="479"/>
      <c r="R48" s="479"/>
      <c r="S48" s="479"/>
      <c r="T48" s="479">
        <v>9000</v>
      </c>
      <c r="U48" s="518"/>
      <c r="V48" s="479"/>
      <c r="W48" s="479"/>
      <c r="X48" s="479"/>
      <c r="Y48" s="479"/>
      <c r="Z48" s="479"/>
      <c r="AA48" s="480"/>
      <c r="AB48" s="481"/>
      <c r="AC48" s="452"/>
      <c r="AD48" s="452"/>
      <c r="AE48" s="452"/>
      <c r="AF48" s="452"/>
    </row>
    <row r="49" spans="1:34" ht="30.9">
      <c r="A49" s="506"/>
      <c r="B49" s="506"/>
      <c r="C49" s="506"/>
      <c r="D49" s="506"/>
      <c r="E49" s="3371"/>
      <c r="F49" s="3371"/>
      <c r="G49" s="3388"/>
      <c r="H49" s="523"/>
      <c r="I49" s="523"/>
      <c r="J49" s="523"/>
      <c r="K49" s="524"/>
      <c r="L49" s="508" t="s">
        <v>929</v>
      </c>
      <c r="M49" s="522">
        <f>2*4*600*3</f>
        <v>14400</v>
      </c>
      <c r="N49" s="479"/>
      <c r="O49" s="479"/>
      <c r="P49" s="479"/>
      <c r="Q49" s="479"/>
      <c r="R49" s="479"/>
      <c r="S49" s="479"/>
      <c r="T49" s="479">
        <v>14400</v>
      </c>
      <c r="U49" s="518"/>
      <c r="V49" s="525"/>
      <c r="W49" s="525"/>
      <c r="X49" s="525"/>
      <c r="Y49" s="525"/>
      <c r="Z49" s="525"/>
      <c r="AA49" s="526"/>
      <c r="AB49" s="481"/>
      <c r="AC49" s="452"/>
      <c r="AD49" s="452"/>
      <c r="AE49" s="452"/>
      <c r="AF49" s="452"/>
    </row>
    <row r="50" spans="1:34" s="447" customFormat="1" ht="20.05" customHeight="1">
      <c r="A50" s="462"/>
      <c r="B50" s="462"/>
      <c r="C50" s="462"/>
      <c r="D50" s="462">
        <v>9</v>
      </c>
      <c r="E50" s="463" t="s">
        <v>930</v>
      </c>
      <c r="F50" s="463"/>
      <c r="G50" s="464"/>
      <c r="H50" s="465" t="s">
        <v>239</v>
      </c>
      <c r="I50" s="465"/>
      <c r="J50" s="465"/>
      <c r="K50" s="465"/>
      <c r="L50" s="465"/>
      <c r="M50" s="466"/>
      <c r="N50" s="466">
        <f>SUM(M51:M54)</f>
        <v>24000</v>
      </c>
      <c r="O50" s="466"/>
      <c r="P50" s="466"/>
      <c r="Q50" s="467">
        <f>SUM(Q51:Q54)</f>
        <v>24000</v>
      </c>
      <c r="R50" s="467"/>
      <c r="S50" s="467"/>
      <c r="T50" s="467"/>
      <c r="U50" s="467"/>
      <c r="V50" s="467"/>
      <c r="W50" s="467"/>
      <c r="X50" s="467"/>
      <c r="Y50" s="467"/>
      <c r="Z50" s="467"/>
      <c r="AA50" s="465" t="s">
        <v>1241</v>
      </c>
      <c r="AB50" s="468" t="s">
        <v>853</v>
      </c>
      <c r="AC50" s="469">
        <f>SUBTOTAL(9,O50:Q50)</f>
        <v>24000</v>
      </c>
      <c r="AD50" s="469">
        <f>SUBTOTAL(9,R50:T50)</f>
        <v>0</v>
      </c>
      <c r="AE50" s="469">
        <f>SUBTOTAL(9,U50:W50)</f>
        <v>0</v>
      </c>
      <c r="AF50" s="469">
        <f>SUBTOTAL(9,X50:Z50)</f>
        <v>0</v>
      </c>
      <c r="AG50" s="470">
        <f>AC50+AD50+AE50+AF50</f>
        <v>24000</v>
      </c>
      <c r="AH50" s="471">
        <f>N50-AG50</f>
        <v>0</v>
      </c>
    </row>
    <row r="51" spans="1:34" ht="50.5" customHeight="1">
      <c r="A51" s="527"/>
      <c r="B51" s="527"/>
      <c r="C51" s="527"/>
      <c r="D51" s="486"/>
      <c r="E51" s="528"/>
      <c r="F51" s="3370" t="s">
        <v>931</v>
      </c>
      <c r="G51" s="3370" t="s">
        <v>932</v>
      </c>
      <c r="H51" s="480"/>
      <c r="I51" s="529"/>
      <c r="J51" s="529"/>
      <c r="K51" s="526"/>
      <c r="L51" s="530" t="s">
        <v>933</v>
      </c>
      <c r="M51" s="531">
        <f>Q51</f>
        <v>7000</v>
      </c>
      <c r="N51" s="532"/>
      <c r="O51" s="533"/>
      <c r="P51" s="533"/>
      <c r="Q51" s="534">
        <v>7000</v>
      </c>
      <c r="R51" s="535"/>
      <c r="S51" s="479"/>
      <c r="T51" s="479"/>
      <c r="U51" s="518"/>
      <c r="V51" s="525"/>
      <c r="W51" s="525"/>
      <c r="X51" s="525"/>
      <c r="Y51" s="525"/>
      <c r="Z51" s="525"/>
      <c r="AA51" s="526"/>
      <c r="AB51" s="481"/>
      <c r="AC51" s="452"/>
      <c r="AD51" s="452"/>
      <c r="AE51" s="452"/>
      <c r="AF51" s="452"/>
    </row>
    <row r="52" spans="1:34" ht="20.6">
      <c r="A52" s="527"/>
      <c r="B52" s="527"/>
      <c r="C52" s="527"/>
      <c r="D52" s="486"/>
      <c r="E52" s="536"/>
      <c r="F52" s="3384"/>
      <c r="G52" s="3384"/>
      <c r="H52" s="480"/>
      <c r="I52" s="529"/>
      <c r="J52" s="529"/>
      <c r="K52" s="526"/>
      <c r="L52" s="530" t="s">
        <v>934</v>
      </c>
      <c r="M52" s="537">
        <f>Q52</f>
        <v>9800</v>
      </c>
      <c r="N52" s="538"/>
      <c r="O52" s="539"/>
      <c r="P52" s="539"/>
      <c r="Q52" s="540">
        <v>9800</v>
      </c>
      <c r="R52" s="535"/>
      <c r="S52" s="479"/>
      <c r="T52" s="479"/>
      <c r="U52" s="518"/>
      <c r="V52" s="525"/>
      <c r="W52" s="525"/>
      <c r="X52" s="525"/>
      <c r="Y52" s="525"/>
      <c r="Z52" s="525"/>
      <c r="AA52" s="526"/>
      <c r="AB52" s="481"/>
      <c r="AC52" s="452"/>
      <c r="AD52" s="452"/>
      <c r="AE52" s="452"/>
      <c r="AF52" s="452"/>
    </row>
    <row r="53" spans="1:34" ht="20.6">
      <c r="A53" s="527"/>
      <c r="B53" s="527"/>
      <c r="C53" s="527"/>
      <c r="D53" s="486"/>
      <c r="E53" s="541"/>
      <c r="F53" s="3384"/>
      <c r="G53" s="3384"/>
      <c r="H53" s="480"/>
      <c r="I53" s="529"/>
      <c r="J53" s="529"/>
      <c r="K53" s="526"/>
      <c r="L53" s="530" t="s">
        <v>935</v>
      </c>
      <c r="M53" s="542">
        <f>Q53</f>
        <v>1800</v>
      </c>
      <c r="N53" s="538"/>
      <c r="O53" s="539"/>
      <c r="P53" s="539"/>
      <c r="Q53" s="542">
        <v>1800</v>
      </c>
      <c r="R53" s="535"/>
      <c r="S53" s="479"/>
      <c r="T53" s="479"/>
      <c r="U53" s="518"/>
      <c r="V53" s="525"/>
      <c r="W53" s="525"/>
      <c r="X53" s="525"/>
      <c r="Y53" s="525"/>
      <c r="Z53" s="525"/>
      <c r="AA53" s="526"/>
      <c r="AB53" s="481"/>
      <c r="AC53" s="452"/>
      <c r="AD53" s="452"/>
      <c r="AE53" s="452"/>
      <c r="AF53" s="452"/>
    </row>
    <row r="54" spans="1:34" ht="31.5" customHeight="1">
      <c r="A54" s="527"/>
      <c r="B54" s="527"/>
      <c r="C54" s="527"/>
      <c r="D54" s="486"/>
      <c r="E54" s="541"/>
      <c r="F54" s="3371"/>
      <c r="G54" s="3371"/>
      <c r="H54" s="480"/>
      <c r="I54" s="529"/>
      <c r="J54" s="529"/>
      <c r="K54" s="526"/>
      <c r="L54" s="543" t="s">
        <v>936</v>
      </c>
      <c r="M54" s="537">
        <f>Q54</f>
        <v>5400</v>
      </c>
      <c r="N54" s="544"/>
      <c r="O54" s="539"/>
      <c r="P54" s="539"/>
      <c r="Q54" s="535">
        <v>5400</v>
      </c>
      <c r="R54" s="535"/>
      <c r="S54" s="479"/>
      <c r="T54" s="479"/>
      <c r="U54" s="518"/>
      <c r="V54" s="525"/>
      <c r="W54" s="525"/>
      <c r="X54" s="525"/>
      <c r="Y54" s="525"/>
      <c r="Z54" s="525"/>
      <c r="AA54" s="526"/>
      <c r="AB54" s="481"/>
      <c r="AC54" s="452"/>
      <c r="AD54" s="452"/>
      <c r="AE54" s="452"/>
      <c r="AF54" s="452"/>
    </row>
    <row r="55" spans="1:34" s="447" customFormat="1" ht="20.05" customHeight="1">
      <c r="A55" s="462">
        <v>1</v>
      </c>
      <c r="B55" s="462">
        <v>1</v>
      </c>
      <c r="C55" s="462">
        <v>1</v>
      </c>
      <c r="D55" s="462">
        <v>10</v>
      </c>
      <c r="E55" s="463" t="s">
        <v>937</v>
      </c>
      <c r="F55" s="463"/>
      <c r="G55" s="464"/>
      <c r="H55" s="465"/>
      <c r="I55" s="465"/>
      <c r="J55" s="465"/>
      <c r="K55" s="465"/>
      <c r="L55" s="465"/>
      <c r="M55" s="466"/>
      <c r="N55" s="466">
        <f>SUM(M56:M57)</f>
        <v>13200</v>
      </c>
      <c r="O55" s="466">
        <f>SUM(O56:O57)</f>
        <v>0</v>
      </c>
      <c r="P55" s="466">
        <f t="shared" ref="P55:Z55" si="12">SUM(P56:P57)</f>
        <v>0</v>
      </c>
      <c r="Q55" s="466">
        <f t="shared" si="12"/>
        <v>0</v>
      </c>
      <c r="R55" s="466">
        <f t="shared" si="12"/>
        <v>13200</v>
      </c>
      <c r="S55" s="466">
        <f t="shared" si="12"/>
        <v>0</v>
      </c>
      <c r="T55" s="466">
        <f t="shared" si="12"/>
        <v>0</v>
      </c>
      <c r="U55" s="466">
        <f t="shared" si="12"/>
        <v>0</v>
      </c>
      <c r="V55" s="466">
        <f t="shared" si="12"/>
        <v>0</v>
      </c>
      <c r="W55" s="466">
        <f t="shared" si="12"/>
        <v>0</v>
      </c>
      <c r="X55" s="466">
        <f t="shared" si="12"/>
        <v>0</v>
      </c>
      <c r="Y55" s="466">
        <f t="shared" si="12"/>
        <v>0</v>
      </c>
      <c r="Z55" s="466">
        <f t="shared" si="12"/>
        <v>0</v>
      </c>
      <c r="AA55" s="465" t="s">
        <v>1241</v>
      </c>
      <c r="AB55" s="468" t="s">
        <v>853</v>
      </c>
      <c r="AC55" s="469">
        <f>SUBTOTAL(9,O55:Q55)</f>
        <v>0</v>
      </c>
      <c r="AD55" s="469">
        <f>SUBTOTAL(9,R55:T55)</f>
        <v>13200</v>
      </c>
      <c r="AE55" s="469">
        <f>SUBTOTAL(9,U55:W55)</f>
        <v>0</v>
      </c>
      <c r="AF55" s="469">
        <f>SUBTOTAL(9,X55:Z55)</f>
        <v>0</v>
      </c>
      <c r="AG55" s="470">
        <f>AC55+AD55+AE55+AF55</f>
        <v>13200</v>
      </c>
      <c r="AH55" s="471">
        <f>N55-AG55</f>
        <v>0</v>
      </c>
    </row>
    <row r="56" spans="1:34" ht="41.05" customHeight="1">
      <c r="A56" s="545"/>
      <c r="B56" s="545"/>
      <c r="C56" s="545"/>
      <c r="D56" s="546"/>
      <c r="E56" s="547"/>
      <c r="F56" s="3370" t="s">
        <v>938</v>
      </c>
      <c r="G56" s="3370" t="s">
        <v>939</v>
      </c>
      <c r="H56" s="477"/>
      <c r="I56" s="546"/>
      <c r="J56" s="546" t="s">
        <v>239</v>
      </c>
      <c r="K56" s="474"/>
      <c r="L56" s="478" t="s">
        <v>940</v>
      </c>
      <c r="M56" s="479">
        <f>55*70*2</f>
        <v>7700</v>
      </c>
      <c r="N56" s="518"/>
      <c r="O56" s="518"/>
      <c r="P56" s="518"/>
      <c r="Q56" s="518"/>
      <c r="R56" s="479">
        <f>M56</f>
        <v>7700</v>
      </c>
      <c r="S56" s="518"/>
      <c r="T56" s="518"/>
      <c r="U56" s="518"/>
      <c r="V56" s="518"/>
      <c r="W56" s="518"/>
      <c r="X56" s="518"/>
      <c r="Y56" s="518"/>
      <c r="Z56" s="518"/>
      <c r="AA56" s="526"/>
      <c r="AB56" s="481"/>
      <c r="AC56" s="452"/>
      <c r="AD56" s="452"/>
      <c r="AE56" s="452"/>
      <c r="AF56" s="452"/>
    </row>
    <row r="57" spans="1:34" ht="63.55" customHeight="1">
      <c r="A57" s="548"/>
      <c r="B57" s="548"/>
      <c r="C57" s="548"/>
      <c r="D57" s="549"/>
      <c r="E57" s="541"/>
      <c r="F57" s="3371"/>
      <c r="G57" s="3371"/>
      <c r="H57" s="489"/>
      <c r="I57" s="549"/>
      <c r="J57" s="549"/>
      <c r="K57" s="486"/>
      <c r="L57" s="478" t="s">
        <v>941</v>
      </c>
      <c r="M57" s="479">
        <f>55*25*2*2</f>
        <v>5500</v>
      </c>
      <c r="N57" s="550"/>
      <c r="O57" s="518"/>
      <c r="P57" s="518"/>
      <c r="Q57" s="518"/>
      <c r="R57" s="479">
        <f>M57</f>
        <v>5500</v>
      </c>
      <c r="S57" s="518"/>
      <c r="T57" s="518"/>
      <c r="U57" s="518"/>
      <c r="V57" s="518"/>
      <c r="W57" s="518"/>
      <c r="X57" s="518"/>
      <c r="Y57" s="518"/>
      <c r="Z57" s="518"/>
      <c r="AA57" s="526"/>
      <c r="AB57" s="481"/>
      <c r="AC57" s="452"/>
      <c r="AD57" s="452"/>
      <c r="AE57" s="452"/>
      <c r="AF57" s="452"/>
    </row>
    <row r="58" spans="1:34" s="447" customFormat="1" ht="20.05" customHeight="1">
      <c r="A58" s="462"/>
      <c r="B58" s="462"/>
      <c r="C58" s="462"/>
      <c r="D58" s="462">
        <v>11</v>
      </c>
      <c r="E58" s="463" t="s">
        <v>942</v>
      </c>
      <c r="F58" s="463"/>
      <c r="G58" s="464"/>
      <c r="H58" s="465"/>
      <c r="I58" s="465"/>
      <c r="J58" s="465"/>
      <c r="K58" s="465"/>
      <c r="L58" s="465"/>
      <c r="M58" s="466"/>
      <c r="N58" s="466">
        <f>SUM(M59:M66)</f>
        <v>1871700</v>
      </c>
      <c r="O58" s="466">
        <f>SUM(O59:O66)</f>
        <v>0</v>
      </c>
      <c r="P58" s="466">
        <f t="shared" ref="P58:Z58" si="13">SUM(P59:P66)</f>
        <v>0</v>
      </c>
      <c r="Q58" s="466">
        <f t="shared" si="13"/>
        <v>0</v>
      </c>
      <c r="R58" s="466">
        <f t="shared" si="13"/>
        <v>1617000</v>
      </c>
      <c r="S58" s="466">
        <f t="shared" si="13"/>
        <v>0</v>
      </c>
      <c r="T58" s="466">
        <f t="shared" si="13"/>
        <v>132000</v>
      </c>
      <c r="U58" s="466">
        <f t="shared" si="13"/>
        <v>122700</v>
      </c>
      <c r="V58" s="466">
        <f t="shared" si="13"/>
        <v>0</v>
      </c>
      <c r="W58" s="466">
        <f t="shared" si="13"/>
        <v>0</v>
      </c>
      <c r="X58" s="466">
        <f t="shared" si="13"/>
        <v>0</v>
      </c>
      <c r="Y58" s="466">
        <f t="shared" si="13"/>
        <v>0</v>
      </c>
      <c r="Z58" s="466">
        <f t="shared" si="13"/>
        <v>0</v>
      </c>
      <c r="AA58" s="468" t="s">
        <v>1241</v>
      </c>
      <c r="AB58" s="467" t="s">
        <v>580</v>
      </c>
      <c r="AC58" s="469">
        <f>SUBTOTAL(9,O58:Q58)</f>
        <v>0</v>
      </c>
      <c r="AD58" s="469">
        <f>SUBTOTAL(9,R58:T58)</f>
        <v>1749000</v>
      </c>
      <c r="AE58" s="469">
        <f>SUBTOTAL(9,U58:W58)</f>
        <v>122700</v>
      </c>
      <c r="AF58" s="469">
        <f>SUBTOTAL(9,X58:Z58)</f>
        <v>0</v>
      </c>
      <c r="AG58" s="470">
        <f>AC58+AD58+AE58+AF58</f>
        <v>1871700</v>
      </c>
      <c r="AH58" s="471">
        <f>N58-AG58</f>
        <v>0</v>
      </c>
    </row>
    <row r="59" spans="1:34" ht="65.05" customHeight="1">
      <c r="A59" s="456"/>
      <c r="B59" s="456"/>
      <c r="C59" s="456"/>
      <c r="D59" s="456"/>
      <c r="E59" s="551" t="s">
        <v>577</v>
      </c>
      <c r="F59" s="551"/>
      <c r="G59" s="551"/>
      <c r="H59" s="456"/>
      <c r="I59" s="506" t="s">
        <v>239</v>
      </c>
      <c r="J59" s="456"/>
      <c r="K59" s="552"/>
      <c r="L59" s="520" t="s">
        <v>578</v>
      </c>
      <c r="M59" s="553">
        <v>1617000</v>
      </c>
      <c r="N59" s="504"/>
      <c r="O59" s="504"/>
      <c r="P59" s="504"/>
      <c r="Q59" s="504"/>
      <c r="R59" s="504">
        <f>M59</f>
        <v>1617000</v>
      </c>
      <c r="S59" s="456"/>
      <c r="T59" s="504"/>
      <c r="U59" s="504"/>
      <c r="V59" s="504"/>
      <c r="W59" s="504"/>
      <c r="X59" s="504"/>
      <c r="Y59" s="504"/>
      <c r="Z59" s="504"/>
      <c r="AA59" s="551" t="s">
        <v>579</v>
      </c>
      <c r="AB59" s="551" t="s">
        <v>580</v>
      </c>
      <c r="AC59" s="554"/>
      <c r="AD59" s="554"/>
      <c r="AE59" s="554"/>
      <c r="AF59" s="554"/>
    </row>
    <row r="60" spans="1:34" ht="30.9">
      <c r="A60" s="555"/>
      <c r="B60" s="555"/>
      <c r="C60" s="555"/>
      <c r="D60" s="555"/>
      <c r="E60" s="556" t="s">
        <v>581</v>
      </c>
      <c r="F60" s="556"/>
      <c r="G60" s="556"/>
      <c r="H60" s="555"/>
      <c r="I60" s="557" t="s">
        <v>239</v>
      </c>
      <c r="J60" s="555"/>
      <c r="K60" s="557"/>
      <c r="L60" s="558" t="s">
        <v>582</v>
      </c>
      <c r="M60" s="504">
        <f>2*3*600*25</f>
        <v>90000</v>
      </c>
      <c r="N60" s="504"/>
      <c r="O60" s="504"/>
      <c r="P60" s="504"/>
      <c r="Q60" s="504"/>
      <c r="R60" s="504"/>
      <c r="S60" s="456"/>
      <c r="T60" s="504">
        <f>M60</f>
        <v>90000</v>
      </c>
      <c r="U60" s="504"/>
      <c r="V60" s="504"/>
      <c r="W60" s="504"/>
      <c r="X60" s="504"/>
      <c r="Y60" s="504"/>
      <c r="Z60" s="504"/>
      <c r="AA60" s="551" t="s">
        <v>579</v>
      </c>
      <c r="AB60" s="551" t="s">
        <v>580</v>
      </c>
      <c r="AC60" s="554"/>
      <c r="AD60" s="554"/>
      <c r="AE60" s="554"/>
      <c r="AF60" s="554"/>
    </row>
    <row r="61" spans="1:34" ht="30.9">
      <c r="A61" s="527"/>
      <c r="B61" s="527"/>
      <c r="C61" s="527"/>
      <c r="D61" s="527"/>
      <c r="E61" s="559"/>
      <c r="F61" s="527"/>
      <c r="G61" s="527"/>
      <c r="H61" s="527"/>
      <c r="I61" s="560"/>
      <c r="J61" s="527"/>
      <c r="K61" s="560"/>
      <c r="L61" s="561" t="s">
        <v>583</v>
      </c>
      <c r="M61" s="504">
        <f>7*25*240</f>
        <v>42000</v>
      </c>
      <c r="N61" s="504"/>
      <c r="O61" s="504"/>
      <c r="P61" s="504"/>
      <c r="Q61" s="504"/>
      <c r="R61" s="504"/>
      <c r="S61" s="456"/>
      <c r="T61" s="504">
        <f>M61</f>
        <v>42000</v>
      </c>
      <c r="U61" s="504"/>
      <c r="V61" s="504"/>
      <c r="W61" s="504"/>
      <c r="X61" s="504"/>
      <c r="Y61" s="504"/>
      <c r="Z61" s="504"/>
      <c r="AA61" s="562"/>
      <c r="AB61" s="551"/>
      <c r="AC61" s="554"/>
      <c r="AD61" s="554"/>
      <c r="AE61" s="554"/>
      <c r="AF61" s="554"/>
    </row>
    <row r="62" spans="1:34" ht="40" customHeight="1">
      <c r="A62" s="555"/>
      <c r="B62" s="555"/>
      <c r="C62" s="555"/>
      <c r="D62" s="555"/>
      <c r="E62" s="3391" t="s">
        <v>584</v>
      </c>
      <c r="F62" s="563"/>
      <c r="G62" s="563"/>
      <c r="H62" s="555"/>
      <c r="I62" s="557"/>
      <c r="J62" s="555"/>
      <c r="K62" s="557"/>
      <c r="L62" s="561" t="s">
        <v>585</v>
      </c>
      <c r="M62" s="504">
        <f>300*1*150</f>
        <v>45000</v>
      </c>
      <c r="N62" s="504"/>
      <c r="O62" s="504"/>
      <c r="P62" s="504"/>
      <c r="Q62" s="504"/>
      <c r="R62" s="504"/>
      <c r="S62" s="456"/>
      <c r="T62" s="504"/>
      <c r="U62" s="504">
        <f>M62</f>
        <v>45000</v>
      </c>
      <c r="V62" s="504"/>
      <c r="W62" s="504"/>
      <c r="X62" s="504"/>
      <c r="Y62" s="504"/>
      <c r="Z62" s="504"/>
      <c r="AA62" s="551" t="s">
        <v>579</v>
      </c>
      <c r="AB62" s="551" t="s">
        <v>580</v>
      </c>
      <c r="AC62" s="564"/>
      <c r="AD62" s="554"/>
      <c r="AE62" s="554"/>
      <c r="AF62" s="554"/>
    </row>
    <row r="63" spans="1:34" ht="30.9">
      <c r="A63" s="515"/>
      <c r="B63" s="515"/>
      <c r="C63" s="515"/>
      <c r="D63" s="515"/>
      <c r="E63" s="3392"/>
      <c r="F63" s="515"/>
      <c r="G63" s="515"/>
      <c r="H63" s="515"/>
      <c r="I63" s="517" t="s">
        <v>239</v>
      </c>
      <c r="J63" s="515"/>
      <c r="K63" s="517"/>
      <c r="L63" s="561" t="s">
        <v>586</v>
      </c>
      <c r="M63" s="504">
        <f>300*2*25</f>
        <v>15000</v>
      </c>
      <c r="N63" s="504"/>
      <c r="O63" s="504"/>
      <c r="P63" s="504"/>
      <c r="Q63" s="504"/>
      <c r="R63" s="504"/>
      <c r="S63" s="456"/>
      <c r="T63" s="504"/>
      <c r="U63" s="504">
        <f>M63</f>
        <v>15000</v>
      </c>
      <c r="V63" s="504"/>
      <c r="W63" s="504"/>
      <c r="X63" s="504"/>
      <c r="Y63" s="504"/>
      <c r="Z63" s="504"/>
      <c r="AA63" s="456"/>
      <c r="AB63" s="551"/>
      <c r="AC63" s="554"/>
      <c r="AD63" s="554"/>
      <c r="AE63" s="554"/>
      <c r="AF63" s="554"/>
    </row>
    <row r="64" spans="1:34" ht="36" customHeight="1">
      <c r="A64" s="515"/>
      <c r="B64" s="515"/>
      <c r="C64" s="515"/>
      <c r="D64" s="515"/>
      <c r="E64" s="3392"/>
      <c r="F64" s="515"/>
      <c r="G64" s="515"/>
      <c r="H64" s="515"/>
      <c r="I64" s="517"/>
      <c r="J64" s="515"/>
      <c r="K64" s="517"/>
      <c r="L64" s="565" t="s">
        <v>587</v>
      </c>
      <c r="M64" s="504">
        <f>1*3*600*6</f>
        <v>10800</v>
      </c>
      <c r="N64" s="504"/>
      <c r="O64" s="504"/>
      <c r="P64" s="504"/>
      <c r="Q64" s="504"/>
      <c r="R64" s="504"/>
      <c r="S64" s="456"/>
      <c r="T64" s="504"/>
      <c r="U64" s="504">
        <f>M64</f>
        <v>10800</v>
      </c>
      <c r="V64" s="504"/>
      <c r="W64" s="504"/>
      <c r="X64" s="504"/>
      <c r="Y64" s="504"/>
      <c r="Z64" s="504"/>
      <c r="AA64" s="456"/>
      <c r="AB64" s="551"/>
      <c r="AC64" s="554"/>
      <c r="AD64" s="554"/>
      <c r="AE64" s="554"/>
      <c r="AF64" s="554"/>
    </row>
    <row r="65" spans="1:34" ht="37" customHeight="1">
      <c r="A65" s="515"/>
      <c r="B65" s="515"/>
      <c r="C65" s="515"/>
      <c r="D65" s="515"/>
      <c r="E65" s="566"/>
      <c r="F65" s="515"/>
      <c r="G65" s="515"/>
      <c r="H65" s="515"/>
      <c r="I65" s="517"/>
      <c r="J65" s="515"/>
      <c r="K65" s="517"/>
      <c r="L65" s="565" t="s">
        <v>588</v>
      </c>
      <c r="M65" s="504">
        <f>3*3*600*6</f>
        <v>32400</v>
      </c>
      <c r="N65" s="504"/>
      <c r="O65" s="504"/>
      <c r="P65" s="504"/>
      <c r="Q65" s="504"/>
      <c r="R65" s="504"/>
      <c r="S65" s="456"/>
      <c r="T65" s="504"/>
      <c r="U65" s="504">
        <f>M65</f>
        <v>32400</v>
      </c>
      <c r="V65" s="504"/>
      <c r="W65" s="504"/>
      <c r="X65" s="504"/>
      <c r="Y65" s="504"/>
      <c r="Z65" s="504"/>
      <c r="AA65" s="456"/>
      <c r="AB65" s="551"/>
      <c r="AC65" s="554"/>
      <c r="AD65" s="554"/>
      <c r="AE65" s="554"/>
      <c r="AF65" s="554"/>
    </row>
    <row r="66" spans="1:34" ht="33" customHeight="1">
      <c r="A66" s="527"/>
      <c r="B66" s="527"/>
      <c r="C66" s="527"/>
      <c r="D66" s="527"/>
      <c r="E66" s="567"/>
      <c r="F66" s="527"/>
      <c r="G66" s="527"/>
      <c r="H66" s="527"/>
      <c r="I66" s="560"/>
      <c r="J66" s="527"/>
      <c r="K66" s="560"/>
      <c r="L66" s="565" t="s">
        <v>589</v>
      </c>
      <c r="M66" s="504">
        <f>65*300</f>
        <v>19500</v>
      </c>
      <c r="N66" s="504"/>
      <c r="O66" s="504"/>
      <c r="P66" s="504"/>
      <c r="Q66" s="504"/>
      <c r="R66" s="504"/>
      <c r="S66" s="456"/>
      <c r="T66" s="504"/>
      <c r="U66" s="504">
        <f>M66</f>
        <v>19500</v>
      </c>
      <c r="V66" s="504"/>
      <c r="W66" s="504"/>
      <c r="X66" s="504"/>
      <c r="Y66" s="504"/>
      <c r="Z66" s="504"/>
      <c r="AA66" s="456"/>
      <c r="AB66" s="551"/>
      <c r="AC66" s="554"/>
      <c r="AD66" s="554"/>
      <c r="AE66" s="554"/>
      <c r="AF66" s="554"/>
    </row>
    <row r="67" spans="1:34" s="447" customFormat="1" ht="30.9" customHeight="1">
      <c r="A67" s="462">
        <v>2</v>
      </c>
      <c r="B67" s="462">
        <v>6</v>
      </c>
      <c r="C67" s="462">
        <v>16</v>
      </c>
      <c r="D67" s="462">
        <v>12</v>
      </c>
      <c r="E67" s="463" t="s">
        <v>943</v>
      </c>
      <c r="F67" s="463"/>
      <c r="G67" s="464"/>
      <c r="H67" s="465"/>
      <c r="I67" s="465" t="s">
        <v>239</v>
      </c>
      <c r="J67" s="465" t="s">
        <v>239</v>
      </c>
      <c r="K67" s="465" t="s">
        <v>239</v>
      </c>
      <c r="L67" s="465" t="s">
        <v>944</v>
      </c>
      <c r="M67" s="466"/>
      <c r="N67" s="466" t="s">
        <v>945</v>
      </c>
      <c r="O67" s="466"/>
      <c r="P67" s="466"/>
      <c r="Q67" s="467"/>
      <c r="R67" s="467"/>
      <c r="S67" s="467"/>
      <c r="T67" s="467"/>
      <c r="U67" s="467"/>
      <c r="V67" s="467"/>
      <c r="W67" s="467"/>
      <c r="X67" s="467"/>
      <c r="Y67" s="467"/>
      <c r="Z67" s="467"/>
      <c r="AA67" s="465" t="s">
        <v>1241</v>
      </c>
      <c r="AB67" s="467" t="s">
        <v>280</v>
      </c>
      <c r="AC67" s="469">
        <f t="shared" ref="AC67:AC68" si="14">SUBTOTAL(9,O67:Q67)</f>
        <v>0</v>
      </c>
      <c r="AD67" s="469">
        <f t="shared" ref="AD67:AD68" si="15">SUBTOTAL(9,R67:T67)</f>
        <v>0</v>
      </c>
      <c r="AE67" s="469">
        <f t="shared" ref="AE67:AE68" si="16">SUBTOTAL(9,U67:W67)</f>
        <v>0</v>
      </c>
      <c r="AF67" s="469">
        <f t="shared" ref="AF67:AF68" si="17">SUBTOTAL(9,X67:Z67)</f>
        <v>0</v>
      </c>
      <c r="AG67" s="470">
        <f t="shared" ref="AG67:AG68" si="18">AC67+AD67+AE67+AF67</f>
        <v>0</v>
      </c>
      <c r="AH67" s="471" t="e">
        <f t="shared" ref="AH67:AH68" si="19">N67-AG67</f>
        <v>#VALUE!</v>
      </c>
    </row>
    <row r="68" spans="1:34" s="447" customFormat="1" ht="32.15" customHeight="1">
      <c r="A68" s="462">
        <v>2</v>
      </c>
      <c r="B68" s="462">
        <v>6</v>
      </c>
      <c r="C68" s="462">
        <v>16</v>
      </c>
      <c r="D68" s="462">
        <v>13</v>
      </c>
      <c r="E68" s="463" t="s">
        <v>946</v>
      </c>
      <c r="F68" s="463"/>
      <c r="G68" s="464"/>
      <c r="H68" s="465"/>
      <c r="I68" s="465"/>
      <c r="J68" s="465"/>
      <c r="K68" s="465"/>
      <c r="L68" s="465"/>
      <c r="M68" s="466"/>
      <c r="N68" s="466" t="s">
        <v>947</v>
      </c>
      <c r="O68" s="466"/>
      <c r="P68" s="466"/>
      <c r="Q68" s="467"/>
      <c r="R68" s="467"/>
      <c r="S68" s="467"/>
      <c r="T68" s="467"/>
      <c r="U68" s="467"/>
      <c r="V68" s="467"/>
      <c r="W68" s="467"/>
      <c r="X68" s="467"/>
      <c r="Y68" s="467"/>
      <c r="Z68" s="467"/>
      <c r="AA68" s="465" t="s">
        <v>1241</v>
      </c>
      <c r="AB68" s="467" t="s">
        <v>948</v>
      </c>
      <c r="AC68" s="469">
        <f t="shared" si="14"/>
        <v>0</v>
      </c>
      <c r="AD68" s="469">
        <f t="shared" si="15"/>
        <v>0</v>
      </c>
      <c r="AE68" s="469">
        <f t="shared" si="16"/>
        <v>0</v>
      </c>
      <c r="AF68" s="469">
        <f t="shared" si="17"/>
        <v>0</v>
      </c>
      <c r="AG68" s="470">
        <f t="shared" si="18"/>
        <v>0</v>
      </c>
      <c r="AH68" s="471" t="e">
        <f t="shared" si="19"/>
        <v>#VALUE!</v>
      </c>
    </row>
    <row r="69" spans="1:34" s="483" customFormat="1" ht="50.05" customHeight="1">
      <c r="A69" s="568"/>
      <c r="B69" s="569"/>
      <c r="C69" s="569"/>
      <c r="D69" s="570"/>
      <c r="E69" s="571" t="s">
        <v>949</v>
      </c>
      <c r="F69" s="500" t="s">
        <v>950</v>
      </c>
      <c r="G69" s="500" t="s">
        <v>951</v>
      </c>
      <c r="H69" s="458"/>
      <c r="I69" s="458" t="s">
        <v>239</v>
      </c>
      <c r="J69" s="458" t="s">
        <v>239</v>
      </c>
      <c r="K69" s="458" t="s">
        <v>239</v>
      </c>
      <c r="L69" s="500" t="s">
        <v>952</v>
      </c>
      <c r="M69" s="459"/>
      <c r="N69" s="459"/>
      <c r="O69" s="459"/>
      <c r="P69" s="459"/>
      <c r="Q69" s="572" t="s">
        <v>239</v>
      </c>
      <c r="R69" s="572" t="s">
        <v>239</v>
      </c>
      <c r="S69" s="572" t="s">
        <v>239</v>
      </c>
      <c r="T69" s="572" t="s">
        <v>239</v>
      </c>
      <c r="U69" s="572" t="s">
        <v>239</v>
      </c>
      <c r="V69" s="572" t="s">
        <v>239</v>
      </c>
      <c r="W69" s="572" t="s">
        <v>239</v>
      </c>
      <c r="X69" s="572" t="s">
        <v>239</v>
      </c>
      <c r="Y69" s="572" t="s">
        <v>239</v>
      </c>
      <c r="Z69" s="572" t="s">
        <v>239</v>
      </c>
      <c r="AA69" s="458"/>
      <c r="AB69" s="573"/>
      <c r="AC69" s="495"/>
      <c r="AD69" s="495"/>
      <c r="AE69" s="495"/>
      <c r="AF69" s="495"/>
    </row>
    <row r="70" spans="1:34" s="447" customFormat="1" ht="20.05" customHeight="1">
      <c r="A70" s="462"/>
      <c r="B70" s="462"/>
      <c r="C70" s="462"/>
      <c r="D70" s="462">
        <v>14</v>
      </c>
      <c r="E70" s="463" t="s">
        <v>953</v>
      </c>
      <c r="F70" s="463"/>
      <c r="G70" s="464"/>
      <c r="H70" s="465"/>
      <c r="I70" s="465"/>
      <c r="J70" s="465"/>
      <c r="K70" s="465"/>
      <c r="L70" s="465"/>
      <c r="M70" s="466"/>
      <c r="N70" s="466">
        <f>SUM(M71:M73)</f>
        <v>10080</v>
      </c>
      <c r="O70" s="466">
        <f>SUM(O71:O73)</f>
        <v>0</v>
      </c>
      <c r="P70" s="466">
        <f>SUM(P71:P73)</f>
        <v>0</v>
      </c>
      <c r="Q70" s="467">
        <f>SUM(Q71:Q73)</f>
        <v>7200</v>
      </c>
      <c r="R70" s="467"/>
      <c r="S70" s="467">
        <f t="shared" ref="S70:Z70" si="20">SUM(S71:S73)</f>
        <v>0</v>
      </c>
      <c r="T70" s="467">
        <f t="shared" si="20"/>
        <v>0</v>
      </c>
      <c r="U70" s="467">
        <f t="shared" si="20"/>
        <v>0</v>
      </c>
      <c r="V70" s="467">
        <f t="shared" si="20"/>
        <v>0</v>
      </c>
      <c r="W70" s="467">
        <f t="shared" si="20"/>
        <v>2880</v>
      </c>
      <c r="X70" s="467">
        <f t="shared" si="20"/>
        <v>0</v>
      </c>
      <c r="Y70" s="467">
        <f t="shared" si="20"/>
        <v>0</v>
      </c>
      <c r="Z70" s="467">
        <f t="shared" si="20"/>
        <v>0</v>
      </c>
      <c r="AA70" s="465" t="s">
        <v>1241</v>
      </c>
      <c r="AB70" s="467" t="s">
        <v>280</v>
      </c>
      <c r="AC70" s="469">
        <f>SUBTOTAL(9,O70:Q70)</f>
        <v>7200</v>
      </c>
      <c r="AD70" s="469">
        <f>SUBTOTAL(9,R70:T70)</f>
        <v>0</v>
      </c>
      <c r="AE70" s="469">
        <f>SUBTOTAL(9,U70:W70)</f>
        <v>2880</v>
      </c>
      <c r="AF70" s="469">
        <f>SUBTOTAL(9,X70:Z70)</f>
        <v>0</v>
      </c>
      <c r="AG70" s="470">
        <f>AC70+AD70+AE70+AF70</f>
        <v>10080</v>
      </c>
      <c r="AH70" s="471">
        <f>N70-AG70</f>
        <v>0</v>
      </c>
    </row>
    <row r="71" spans="1:34" ht="26.5" customHeight="1">
      <c r="A71" s="555"/>
      <c r="B71" s="555"/>
      <c r="C71" s="555"/>
      <c r="D71" s="574"/>
      <c r="E71" s="3370" t="s">
        <v>955</v>
      </c>
      <c r="F71" s="3393"/>
      <c r="G71" s="3370" t="s">
        <v>956</v>
      </c>
      <c r="H71" s="491" t="s">
        <v>239</v>
      </c>
      <c r="I71" s="491"/>
      <c r="J71" s="491"/>
      <c r="K71" s="491"/>
      <c r="L71" s="500" t="s">
        <v>957</v>
      </c>
      <c r="M71" s="575">
        <f>60*25*2</f>
        <v>3000</v>
      </c>
      <c r="N71" s="3385"/>
      <c r="O71" s="479"/>
      <c r="P71" s="479"/>
      <c r="Q71" s="479">
        <f>M71</f>
        <v>3000</v>
      </c>
      <c r="R71" s="575"/>
      <c r="S71" s="479"/>
      <c r="T71" s="479"/>
      <c r="U71" s="479"/>
      <c r="V71" s="479"/>
      <c r="W71" s="479"/>
      <c r="X71" s="479"/>
      <c r="Y71" s="479"/>
      <c r="Z71" s="479"/>
      <c r="AA71" s="480" t="s">
        <v>954</v>
      </c>
      <c r="AB71" s="481" t="s">
        <v>724</v>
      </c>
      <c r="AC71" s="576"/>
      <c r="AD71" s="576"/>
      <c r="AE71" s="576"/>
      <c r="AF71" s="576"/>
    </row>
    <row r="72" spans="1:34" ht="26.5" customHeight="1">
      <c r="A72" s="527"/>
      <c r="B72" s="527"/>
      <c r="C72" s="527"/>
      <c r="D72" s="577"/>
      <c r="E72" s="3371"/>
      <c r="F72" s="3388"/>
      <c r="G72" s="3371"/>
      <c r="H72" s="494"/>
      <c r="I72" s="494"/>
      <c r="J72" s="494"/>
      <c r="K72" s="494"/>
      <c r="L72" s="500" t="s">
        <v>958</v>
      </c>
      <c r="M72" s="575">
        <f>60*70</f>
        <v>4200</v>
      </c>
      <c r="N72" s="3386"/>
      <c r="O72" s="479"/>
      <c r="P72" s="479"/>
      <c r="Q72" s="479">
        <f>M72</f>
        <v>4200</v>
      </c>
      <c r="R72" s="575"/>
      <c r="S72" s="479"/>
      <c r="T72" s="479"/>
      <c r="U72" s="479"/>
      <c r="V72" s="479"/>
      <c r="W72" s="479"/>
      <c r="X72" s="479"/>
      <c r="Y72" s="479"/>
      <c r="Z72" s="479"/>
      <c r="AA72" s="480"/>
      <c r="AB72" s="481"/>
      <c r="AC72" s="576"/>
      <c r="AD72" s="576"/>
      <c r="AE72" s="576"/>
      <c r="AF72" s="576"/>
    </row>
    <row r="73" spans="1:34" ht="82.3">
      <c r="A73" s="527"/>
      <c r="B73" s="527"/>
      <c r="C73" s="527"/>
      <c r="D73" s="486"/>
      <c r="E73" s="488" t="s">
        <v>959</v>
      </c>
      <c r="G73" s="578" t="s">
        <v>960</v>
      </c>
      <c r="H73" s="579"/>
      <c r="I73" s="491" t="s">
        <v>239</v>
      </c>
      <c r="J73" s="489"/>
      <c r="K73" s="486"/>
      <c r="L73" s="500" t="s">
        <v>961</v>
      </c>
      <c r="M73" s="575">
        <f>6*120*4</f>
        <v>2880</v>
      </c>
      <c r="N73" s="479"/>
      <c r="O73" s="525"/>
      <c r="P73" s="525"/>
      <c r="Q73" s="525"/>
      <c r="R73" s="525"/>
      <c r="S73" s="525"/>
      <c r="T73" s="575"/>
      <c r="U73" s="525"/>
      <c r="V73" s="525"/>
      <c r="W73" s="575">
        <f>M73</f>
        <v>2880</v>
      </c>
      <c r="X73" s="525"/>
      <c r="Y73" s="525"/>
      <c r="Z73" s="525"/>
      <c r="AA73" s="480" t="s">
        <v>954</v>
      </c>
      <c r="AB73" s="505" t="s">
        <v>724</v>
      </c>
      <c r="AC73" s="576"/>
      <c r="AD73" s="576"/>
      <c r="AE73" s="576"/>
      <c r="AF73" s="576"/>
    </row>
    <row r="74" spans="1:34" s="447" customFormat="1" ht="20.05" customHeight="1">
      <c r="A74" s="462"/>
      <c r="B74" s="462"/>
      <c r="C74" s="462"/>
      <c r="D74" s="462">
        <v>15</v>
      </c>
      <c r="E74" s="463" t="s">
        <v>962</v>
      </c>
      <c r="F74" s="463"/>
      <c r="G74" s="464"/>
      <c r="H74" s="465"/>
      <c r="I74" s="465"/>
      <c r="J74" s="465"/>
      <c r="K74" s="465"/>
      <c r="L74" s="465"/>
      <c r="M74" s="466"/>
      <c r="N74" s="466">
        <f>SUM(M75:M77)</f>
        <v>10080</v>
      </c>
      <c r="O74" s="466">
        <f t="shared" ref="O74:T74" si="21">SUM(O75:O77)</f>
        <v>0</v>
      </c>
      <c r="P74" s="466">
        <f t="shared" si="21"/>
        <v>0</v>
      </c>
      <c r="Q74" s="467">
        <f t="shared" si="21"/>
        <v>7200</v>
      </c>
      <c r="R74" s="467">
        <f t="shared" si="21"/>
        <v>0</v>
      </c>
      <c r="S74" s="467">
        <f t="shared" si="21"/>
        <v>0</v>
      </c>
      <c r="T74" s="467">
        <f t="shared" si="21"/>
        <v>0</v>
      </c>
      <c r="U74" s="467">
        <f>SUM(U75:U77)</f>
        <v>2880</v>
      </c>
      <c r="V74" s="467">
        <f t="shared" ref="V74:Z74" si="22">SUM(V75:V77)</f>
        <v>0</v>
      </c>
      <c r="W74" s="467">
        <f t="shared" si="22"/>
        <v>0</v>
      </c>
      <c r="X74" s="467">
        <f t="shared" si="22"/>
        <v>0</v>
      </c>
      <c r="Y74" s="467">
        <f t="shared" si="22"/>
        <v>0</v>
      </c>
      <c r="Z74" s="467">
        <f t="shared" si="22"/>
        <v>0</v>
      </c>
      <c r="AA74" s="467" t="s">
        <v>1241</v>
      </c>
      <c r="AB74" s="467" t="s">
        <v>280</v>
      </c>
      <c r="AC74" s="469">
        <f>SUBTOTAL(9,O74:Q74)</f>
        <v>7200</v>
      </c>
      <c r="AD74" s="469">
        <f>SUBTOTAL(9,R74:T74)</f>
        <v>0</v>
      </c>
      <c r="AE74" s="469">
        <f>SUBTOTAL(9,U74:W74)</f>
        <v>2880</v>
      </c>
      <c r="AF74" s="469">
        <f>SUBTOTAL(9,X74:Z74)</f>
        <v>0</v>
      </c>
      <c r="AG74" s="470">
        <f>AC74+AD74+AE74+AF74</f>
        <v>10080</v>
      </c>
      <c r="AH74" s="471">
        <f>N74-AG74</f>
        <v>0</v>
      </c>
    </row>
    <row r="75" spans="1:34" ht="31" customHeight="1">
      <c r="A75" s="547"/>
      <c r="B75" s="547"/>
      <c r="C75" s="547"/>
      <c r="D75" s="474"/>
      <c r="E75" s="3372" t="s">
        <v>964</v>
      </c>
      <c r="F75" s="555"/>
      <c r="G75" s="3370" t="s">
        <v>965</v>
      </c>
      <c r="H75" s="491"/>
      <c r="I75" s="491" t="s">
        <v>239</v>
      </c>
      <c r="J75" s="491"/>
      <c r="K75" s="491"/>
      <c r="L75" s="500" t="s">
        <v>957</v>
      </c>
      <c r="M75" s="575">
        <f>60*25*2</f>
        <v>3000</v>
      </c>
      <c r="N75" s="479"/>
      <c r="O75" s="479"/>
      <c r="P75" s="479"/>
      <c r="Q75" s="575">
        <f>M75</f>
        <v>3000</v>
      </c>
      <c r="R75" s="479"/>
      <c r="S75" s="479"/>
      <c r="T75" s="479"/>
      <c r="U75" s="479"/>
      <c r="V75" s="479"/>
      <c r="W75" s="479"/>
      <c r="X75" s="479"/>
      <c r="Y75" s="479"/>
      <c r="Z75" s="479"/>
      <c r="AA75" s="457" t="s">
        <v>963</v>
      </c>
      <c r="AB75" s="580" t="s">
        <v>724</v>
      </c>
      <c r="AC75" s="576"/>
      <c r="AD75" s="576"/>
      <c r="AE75" s="576"/>
      <c r="AF75" s="576"/>
    </row>
    <row r="76" spans="1:34" ht="58.5" customHeight="1">
      <c r="A76" s="541"/>
      <c r="B76" s="541"/>
      <c r="C76" s="541"/>
      <c r="D76" s="486"/>
      <c r="E76" s="3373"/>
      <c r="F76" s="488"/>
      <c r="G76" s="3371"/>
      <c r="H76" s="494"/>
      <c r="I76" s="494"/>
      <c r="J76" s="494"/>
      <c r="K76" s="494"/>
      <c r="L76" s="500" t="s">
        <v>958</v>
      </c>
      <c r="M76" s="575">
        <f>60*70</f>
        <v>4200</v>
      </c>
      <c r="N76" s="479"/>
      <c r="O76" s="479"/>
      <c r="P76" s="479"/>
      <c r="Q76" s="575">
        <f>M76</f>
        <v>4200</v>
      </c>
      <c r="R76" s="479"/>
      <c r="S76" s="479"/>
      <c r="T76" s="479"/>
      <c r="U76" s="479"/>
      <c r="V76" s="479"/>
      <c r="W76" s="479"/>
      <c r="X76" s="479"/>
      <c r="Y76" s="479"/>
      <c r="Z76" s="479"/>
      <c r="AA76" s="457"/>
      <c r="AB76" s="580"/>
      <c r="AC76" s="576"/>
      <c r="AD76" s="576"/>
      <c r="AE76" s="576"/>
      <c r="AF76" s="576"/>
    </row>
    <row r="77" spans="1:34" ht="91.5" customHeight="1">
      <c r="A77" s="456"/>
      <c r="B77" s="456"/>
      <c r="C77" s="456"/>
      <c r="D77" s="581"/>
      <c r="E77" s="487" t="s">
        <v>966</v>
      </c>
      <c r="G77" s="582" t="s">
        <v>967</v>
      </c>
      <c r="H77" s="583"/>
      <c r="I77" s="458" t="s">
        <v>239</v>
      </c>
      <c r="J77" s="458" t="s">
        <v>239</v>
      </c>
      <c r="K77" s="494"/>
      <c r="L77" s="582" t="s">
        <v>968</v>
      </c>
      <c r="M77" s="575">
        <f>3*120*8</f>
        <v>2880</v>
      </c>
      <c r="N77" s="479"/>
      <c r="O77" s="479"/>
      <c r="P77" s="479"/>
      <c r="Q77" s="479"/>
      <c r="R77" s="575"/>
      <c r="S77" s="479"/>
      <c r="T77" s="479"/>
      <c r="U77" s="479">
        <f>M77</f>
        <v>2880</v>
      </c>
      <c r="V77" s="479"/>
      <c r="W77" s="479"/>
      <c r="X77" s="479"/>
      <c r="Y77" s="479"/>
      <c r="Z77" s="479"/>
      <c r="AA77" s="457" t="s">
        <v>963</v>
      </c>
      <c r="AB77" s="580" t="s">
        <v>724</v>
      </c>
      <c r="AC77" s="576"/>
      <c r="AD77" s="576"/>
      <c r="AE77" s="576"/>
      <c r="AF77" s="576"/>
    </row>
    <row r="78" spans="1:34" s="447" customFormat="1" ht="20.05" customHeight="1">
      <c r="A78" s="462"/>
      <c r="B78" s="462"/>
      <c r="C78" s="462"/>
      <c r="D78" s="462">
        <v>16</v>
      </c>
      <c r="E78" s="463" t="s">
        <v>969</v>
      </c>
      <c r="F78" s="463"/>
      <c r="G78" s="464"/>
      <c r="H78" s="465"/>
      <c r="I78" s="465"/>
      <c r="J78" s="465"/>
      <c r="K78" s="465"/>
      <c r="L78" s="465"/>
      <c r="M78" s="466"/>
      <c r="N78" s="466">
        <f>SUM(M79:M80)</f>
        <v>7200</v>
      </c>
      <c r="O78" s="466">
        <f>SUM(O79:O80)</f>
        <v>0</v>
      </c>
      <c r="P78" s="466">
        <f t="shared" ref="P78:Z78" si="23">SUM(P79:P80)</f>
        <v>0</v>
      </c>
      <c r="Q78" s="466">
        <f t="shared" si="23"/>
        <v>7200</v>
      </c>
      <c r="R78" s="466">
        <f t="shared" si="23"/>
        <v>0</v>
      </c>
      <c r="S78" s="466">
        <f t="shared" si="23"/>
        <v>0</v>
      </c>
      <c r="T78" s="466">
        <f t="shared" si="23"/>
        <v>0</v>
      </c>
      <c r="U78" s="466">
        <f t="shared" si="23"/>
        <v>0</v>
      </c>
      <c r="V78" s="466">
        <f t="shared" si="23"/>
        <v>0</v>
      </c>
      <c r="W78" s="466">
        <f t="shared" si="23"/>
        <v>0</v>
      </c>
      <c r="X78" s="466">
        <f t="shared" si="23"/>
        <v>0</v>
      </c>
      <c r="Y78" s="466">
        <f t="shared" si="23"/>
        <v>0</v>
      </c>
      <c r="Z78" s="466">
        <f t="shared" si="23"/>
        <v>0</v>
      </c>
      <c r="AA78" s="467" t="s">
        <v>1241</v>
      </c>
      <c r="AB78" s="467" t="s">
        <v>280</v>
      </c>
      <c r="AC78" s="469">
        <f>SUBTOTAL(9,O78:Q78)</f>
        <v>7200</v>
      </c>
      <c r="AD78" s="469">
        <f>SUBTOTAL(9,R78:T78)</f>
        <v>0</v>
      </c>
      <c r="AE78" s="469">
        <f>SUBTOTAL(9,U78:W78)</f>
        <v>0</v>
      </c>
      <c r="AF78" s="469">
        <f>SUBTOTAL(9,X78:Z78)</f>
        <v>0</v>
      </c>
      <c r="AG78" s="470">
        <f>AC78+AD78+AE78+AF78</f>
        <v>7200</v>
      </c>
      <c r="AH78" s="471">
        <f>N78-AG78</f>
        <v>0</v>
      </c>
    </row>
    <row r="79" spans="1:34" ht="20.6">
      <c r="A79" s="547"/>
      <c r="B79" s="547"/>
      <c r="C79" s="547"/>
      <c r="D79" s="474"/>
      <c r="E79" s="555"/>
      <c r="F79" s="3393" t="s">
        <v>970</v>
      </c>
      <c r="G79" s="3393" t="s">
        <v>971</v>
      </c>
      <c r="H79" s="458" t="s">
        <v>239</v>
      </c>
      <c r="I79" s="441"/>
      <c r="J79" s="526"/>
      <c r="K79" s="584"/>
      <c r="L79" s="478" t="s">
        <v>957</v>
      </c>
      <c r="M79" s="575">
        <f>60*25*2</f>
        <v>3000</v>
      </c>
      <c r="N79" s="479"/>
      <c r="O79" s="518"/>
      <c r="P79" s="518"/>
      <c r="Q79" s="575">
        <f>M79</f>
        <v>3000</v>
      </c>
      <c r="R79" s="504"/>
      <c r="S79" s="518"/>
      <c r="T79" s="518"/>
      <c r="U79" s="518"/>
      <c r="V79" s="518"/>
      <c r="W79" s="518"/>
      <c r="X79" s="518"/>
      <c r="Y79" s="518"/>
      <c r="Z79" s="518"/>
      <c r="AA79" s="457"/>
      <c r="AB79" s="580"/>
      <c r="AC79" s="576"/>
      <c r="AD79" s="576"/>
      <c r="AE79" s="576"/>
      <c r="AF79" s="576"/>
    </row>
    <row r="80" spans="1:34" ht="33" customHeight="1">
      <c r="A80" s="541"/>
      <c r="B80" s="541"/>
      <c r="C80" s="541"/>
      <c r="D80" s="486"/>
      <c r="E80" s="527"/>
      <c r="F80" s="3388"/>
      <c r="G80" s="3388"/>
      <c r="H80" s="480"/>
      <c r="I80" s="480"/>
      <c r="J80" s="526"/>
      <c r="K80" s="584"/>
      <c r="L80" s="478" t="s">
        <v>958</v>
      </c>
      <c r="M80" s="575">
        <f>60*70</f>
        <v>4200</v>
      </c>
      <c r="N80" s="479"/>
      <c r="O80" s="518"/>
      <c r="P80" s="518"/>
      <c r="Q80" s="575">
        <f>M80</f>
        <v>4200</v>
      </c>
      <c r="R80" s="504"/>
      <c r="S80" s="518"/>
      <c r="T80" s="518"/>
      <c r="U80" s="518"/>
      <c r="V80" s="518"/>
      <c r="W80" s="518"/>
      <c r="X80" s="518"/>
      <c r="Y80" s="518"/>
      <c r="Z80" s="518"/>
      <c r="AA80" s="457"/>
      <c r="AB80" s="580"/>
      <c r="AC80" s="576"/>
      <c r="AD80" s="576"/>
      <c r="AE80" s="576"/>
      <c r="AF80" s="576"/>
    </row>
    <row r="81" spans="1:34" s="447" customFormat="1" ht="20.05" customHeight="1">
      <c r="A81" s="462" t="s">
        <v>972</v>
      </c>
      <c r="B81" s="462">
        <v>3</v>
      </c>
      <c r="C81" s="462">
        <v>5</v>
      </c>
      <c r="D81" s="462">
        <v>17</v>
      </c>
      <c r="E81" s="463" t="s">
        <v>973</v>
      </c>
      <c r="F81" s="463"/>
      <c r="G81" s="464"/>
      <c r="H81" s="465"/>
      <c r="I81" s="465"/>
      <c r="J81" s="465"/>
      <c r="K81" s="465"/>
      <c r="L81" s="465"/>
      <c r="M81" s="466"/>
      <c r="N81" s="466">
        <f>SUM(M82:M85)</f>
        <v>15600</v>
      </c>
      <c r="O81" s="466"/>
      <c r="P81" s="466"/>
      <c r="Q81" s="467">
        <f>SUM(Q82:Q85)</f>
        <v>6600</v>
      </c>
      <c r="R81" s="467">
        <f t="shared" ref="R81:Y81" si="24">SUM(R82:R85)</f>
        <v>0</v>
      </c>
      <c r="S81" s="467">
        <f t="shared" si="24"/>
        <v>1200</v>
      </c>
      <c r="T81" s="467">
        <f t="shared" si="24"/>
        <v>0</v>
      </c>
      <c r="U81" s="467">
        <f t="shared" si="24"/>
        <v>0</v>
      </c>
      <c r="V81" s="467">
        <f t="shared" si="24"/>
        <v>1200</v>
      </c>
      <c r="W81" s="467">
        <f t="shared" si="24"/>
        <v>0</v>
      </c>
      <c r="X81" s="467">
        <f t="shared" si="24"/>
        <v>0</v>
      </c>
      <c r="Y81" s="467">
        <f t="shared" si="24"/>
        <v>6600</v>
      </c>
      <c r="Z81" s="467"/>
      <c r="AA81" s="465" t="s">
        <v>1241</v>
      </c>
      <c r="AB81" s="467" t="s">
        <v>280</v>
      </c>
      <c r="AC81" s="469">
        <f>SUBTOTAL(9,O81:Q81)</f>
        <v>6600</v>
      </c>
      <c r="AD81" s="469">
        <f>SUBTOTAL(9,R81:T81)</f>
        <v>1200</v>
      </c>
      <c r="AE81" s="469">
        <f>SUBTOTAL(9,U81:W81)</f>
        <v>1200</v>
      </c>
      <c r="AF81" s="469">
        <f>SUBTOTAL(9,X81:Z81)</f>
        <v>6600</v>
      </c>
      <c r="AG81" s="470">
        <f>AC81+AD81+AE81+AF81</f>
        <v>15600</v>
      </c>
      <c r="AH81" s="471">
        <f>N81-AG81</f>
        <v>0</v>
      </c>
    </row>
    <row r="82" spans="1:34" ht="30" customHeight="1">
      <c r="A82" s="3389"/>
      <c r="B82" s="3389"/>
      <c r="C82" s="3389"/>
      <c r="D82" s="3389"/>
      <c r="E82" s="3379" t="s">
        <v>974</v>
      </c>
      <c r="F82" s="3379" t="s">
        <v>975</v>
      </c>
      <c r="G82" s="3384" t="s">
        <v>976</v>
      </c>
      <c r="H82" s="3390" t="s">
        <v>768</v>
      </c>
      <c r="I82" s="3390" t="s">
        <v>768</v>
      </c>
      <c r="J82" s="3390" t="s">
        <v>768</v>
      </c>
      <c r="K82" s="3390" t="s">
        <v>768</v>
      </c>
      <c r="L82" s="582" t="s">
        <v>977</v>
      </c>
      <c r="M82" s="461">
        <f>1*70*55*2</f>
        <v>7700</v>
      </c>
      <c r="N82" s="585"/>
      <c r="O82" s="461"/>
      <c r="P82" s="461"/>
      <c r="Q82" s="461">
        <f>M82/2</f>
        <v>3850</v>
      </c>
      <c r="R82" s="461"/>
      <c r="S82" s="461"/>
      <c r="T82" s="461"/>
      <c r="U82" s="461"/>
      <c r="V82" s="461"/>
      <c r="W82" s="461"/>
      <c r="X82" s="461"/>
      <c r="Y82" s="461">
        <f>M82/2</f>
        <v>3850</v>
      </c>
      <c r="Z82" s="461"/>
      <c r="AA82" s="582" t="s">
        <v>978</v>
      </c>
      <c r="AB82" s="548" t="s">
        <v>978</v>
      </c>
      <c r="AD82" s="448" t="s">
        <v>978</v>
      </c>
    </row>
    <row r="83" spans="1:34" ht="43.5" customHeight="1">
      <c r="A83" s="3389"/>
      <c r="B83" s="3389"/>
      <c r="C83" s="3389"/>
      <c r="D83" s="3389"/>
      <c r="E83" s="3390"/>
      <c r="F83" s="3390"/>
      <c r="G83" s="3371"/>
      <c r="H83" s="3380"/>
      <c r="I83" s="3380"/>
      <c r="J83" s="3380"/>
      <c r="K83" s="3380"/>
      <c r="L83" s="500" t="s">
        <v>979</v>
      </c>
      <c r="M83" s="459">
        <f>2*25*55*2</f>
        <v>5500</v>
      </c>
      <c r="N83" s="504"/>
      <c r="O83" s="459"/>
      <c r="P83" s="459"/>
      <c r="Q83" s="461">
        <f>M83/2</f>
        <v>2750</v>
      </c>
      <c r="R83" s="459"/>
      <c r="S83" s="459"/>
      <c r="T83" s="459"/>
      <c r="U83" s="459"/>
      <c r="V83" s="459"/>
      <c r="W83" s="459"/>
      <c r="X83" s="459"/>
      <c r="Y83" s="461">
        <f>M83/2</f>
        <v>2750</v>
      </c>
      <c r="Z83" s="459"/>
      <c r="AA83" s="458"/>
      <c r="AB83" s="506"/>
    </row>
    <row r="84" spans="1:34" ht="20.6">
      <c r="A84" s="3389"/>
      <c r="B84" s="3389"/>
      <c r="C84" s="3389"/>
      <c r="D84" s="3389"/>
      <c r="E84" s="3390"/>
      <c r="F84" s="3390"/>
      <c r="G84" s="3379" t="s">
        <v>980</v>
      </c>
      <c r="H84" s="494"/>
      <c r="I84" s="494"/>
      <c r="J84" s="494"/>
      <c r="K84" s="494"/>
      <c r="L84" s="582" t="s">
        <v>981</v>
      </c>
      <c r="M84" s="459">
        <f>70*10*2</f>
        <v>1400</v>
      </c>
      <c r="N84" s="504"/>
      <c r="O84" s="459"/>
      <c r="P84" s="459"/>
      <c r="Q84" s="459"/>
      <c r="R84" s="459"/>
      <c r="S84" s="459">
        <f>70*10</f>
        <v>700</v>
      </c>
      <c r="T84" s="459"/>
      <c r="U84" s="459"/>
      <c r="V84" s="459">
        <f>70*10</f>
        <v>700</v>
      </c>
      <c r="W84" s="459"/>
      <c r="X84" s="459"/>
      <c r="Y84" s="459"/>
      <c r="Z84" s="459"/>
      <c r="AA84" s="458"/>
      <c r="AB84" s="506"/>
    </row>
    <row r="85" spans="1:34" ht="30.9">
      <c r="A85" s="3389"/>
      <c r="B85" s="3389"/>
      <c r="C85" s="3389"/>
      <c r="D85" s="3389"/>
      <c r="E85" s="3380"/>
      <c r="F85" s="3380"/>
      <c r="G85" s="3380"/>
      <c r="H85" s="494"/>
      <c r="I85" s="494"/>
      <c r="J85" s="494"/>
      <c r="K85" s="494"/>
      <c r="L85" s="500" t="s">
        <v>982</v>
      </c>
      <c r="M85" s="459">
        <f>2*25*10*2</f>
        <v>1000</v>
      </c>
      <c r="N85" s="504"/>
      <c r="O85" s="459"/>
      <c r="P85" s="459"/>
      <c r="Q85" s="459"/>
      <c r="R85" s="459"/>
      <c r="S85" s="459">
        <f>2*25*10</f>
        <v>500</v>
      </c>
      <c r="T85" s="459"/>
      <c r="U85" s="459"/>
      <c r="V85" s="459">
        <f>2*25*10</f>
        <v>500</v>
      </c>
      <c r="W85" s="459"/>
      <c r="X85" s="459"/>
      <c r="Y85" s="459"/>
      <c r="Z85" s="459"/>
      <c r="AA85" s="458"/>
      <c r="AB85" s="506"/>
    </row>
    <row r="86" spans="1:34" s="447" customFormat="1" ht="20.05" customHeight="1">
      <c r="A86" s="462" t="s">
        <v>972</v>
      </c>
      <c r="B86" s="462">
        <v>3</v>
      </c>
      <c r="C86" s="462">
        <v>5</v>
      </c>
      <c r="D86" s="462">
        <v>18</v>
      </c>
      <c r="E86" s="586" t="s">
        <v>983</v>
      </c>
      <c r="F86" s="467"/>
      <c r="G86" s="467"/>
      <c r="H86" s="467"/>
      <c r="I86" s="467"/>
      <c r="J86" s="467"/>
      <c r="K86" s="467"/>
      <c r="L86" s="467"/>
      <c r="M86" s="467"/>
      <c r="N86" s="467">
        <f>SUM(M87:M89)</f>
        <v>37800</v>
      </c>
      <c r="O86" s="467">
        <f>SUM(O87:O89)</f>
        <v>0</v>
      </c>
      <c r="P86" s="467">
        <f t="shared" ref="P86:Z86" si="25">SUM(P87:P89)</f>
        <v>0</v>
      </c>
      <c r="Q86" s="467">
        <f t="shared" si="25"/>
        <v>37800</v>
      </c>
      <c r="R86" s="467">
        <f t="shared" si="25"/>
        <v>0</v>
      </c>
      <c r="S86" s="467">
        <f t="shared" si="25"/>
        <v>0</v>
      </c>
      <c r="T86" s="467">
        <f t="shared" si="25"/>
        <v>0</v>
      </c>
      <c r="U86" s="467">
        <f t="shared" si="25"/>
        <v>0</v>
      </c>
      <c r="V86" s="467">
        <f t="shared" si="25"/>
        <v>0</v>
      </c>
      <c r="W86" s="467">
        <f t="shared" si="25"/>
        <v>0</v>
      </c>
      <c r="X86" s="467">
        <f t="shared" si="25"/>
        <v>0</v>
      </c>
      <c r="Y86" s="467">
        <f t="shared" si="25"/>
        <v>0</v>
      </c>
      <c r="Z86" s="467">
        <f t="shared" si="25"/>
        <v>0</v>
      </c>
      <c r="AA86" s="465" t="s">
        <v>1241</v>
      </c>
      <c r="AB86" s="467" t="s">
        <v>280</v>
      </c>
      <c r="AC86" s="469">
        <f>SUBTOTAL(9,O86:Q86)</f>
        <v>37800</v>
      </c>
      <c r="AD86" s="469">
        <f>SUBTOTAL(9,R86:T86)</f>
        <v>0</v>
      </c>
      <c r="AE86" s="469">
        <f>SUBTOTAL(9,U86:W86)</f>
        <v>0</v>
      </c>
      <c r="AF86" s="469">
        <f>SUBTOTAL(9,X86:Z86)</f>
        <v>0</v>
      </c>
      <c r="AG86" s="470">
        <f>AC86+AD86+AE86+AF86</f>
        <v>37800</v>
      </c>
      <c r="AH86" s="471">
        <f>N86-AG86</f>
        <v>0</v>
      </c>
    </row>
    <row r="87" spans="1:34" ht="29.05" customHeight="1">
      <c r="A87" s="490"/>
      <c r="B87" s="490"/>
      <c r="C87" s="490"/>
      <c r="D87" s="490"/>
      <c r="E87" s="3394" t="s">
        <v>984</v>
      </c>
      <c r="F87" s="3394" t="s">
        <v>985</v>
      </c>
      <c r="G87" s="3394" t="s">
        <v>986</v>
      </c>
      <c r="H87" s="499" t="s">
        <v>768</v>
      </c>
      <c r="I87" s="491"/>
      <c r="J87" s="491"/>
      <c r="K87" s="490"/>
      <c r="L87" s="500" t="s">
        <v>987</v>
      </c>
      <c r="M87" s="587">
        <f>70*250</f>
        <v>17500</v>
      </c>
      <c r="N87" s="587"/>
      <c r="O87" s="504" t="s">
        <v>978</v>
      </c>
      <c r="P87" s="504"/>
      <c r="Q87" s="504">
        <v>17500</v>
      </c>
      <c r="R87" s="504"/>
      <c r="S87" s="504"/>
      <c r="T87" s="504"/>
      <c r="U87" s="504"/>
      <c r="V87" s="504"/>
      <c r="W87" s="504"/>
      <c r="X87" s="504"/>
      <c r="Y87" s="504"/>
      <c r="Z87" s="504"/>
      <c r="AA87" s="520"/>
      <c r="AB87" s="506"/>
    </row>
    <row r="88" spans="1:34" ht="29.05" customHeight="1">
      <c r="A88" s="503"/>
      <c r="B88" s="503"/>
      <c r="C88" s="503"/>
      <c r="D88" s="503"/>
      <c r="E88" s="3395"/>
      <c r="F88" s="3395"/>
      <c r="G88" s="3395"/>
      <c r="H88" s="588"/>
      <c r="I88" s="503"/>
      <c r="J88" s="589"/>
      <c r="K88" s="503"/>
      <c r="L88" s="500" t="s">
        <v>988</v>
      </c>
      <c r="M88" s="587">
        <f>2*25*250</f>
        <v>12500</v>
      </c>
      <c r="N88" s="587"/>
      <c r="O88" s="504"/>
      <c r="P88" s="504"/>
      <c r="Q88" s="504">
        <v>12500</v>
      </c>
      <c r="R88" s="504"/>
      <c r="S88" s="504"/>
      <c r="T88" s="504"/>
      <c r="U88" s="504"/>
      <c r="V88" s="504"/>
      <c r="W88" s="504"/>
      <c r="X88" s="504"/>
      <c r="Y88" s="504"/>
      <c r="Z88" s="504"/>
      <c r="AA88" s="520"/>
      <c r="AB88" s="506"/>
    </row>
    <row r="89" spans="1:34" ht="67" customHeight="1">
      <c r="A89" s="493"/>
      <c r="B89" s="493"/>
      <c r="C89" s="493"/>
      <c r="D89" s="493"/>
      <c r="E89" s="3396"/>
      <c r="F89" s="3396"/>
      <c r="G89" s="3396"/>
      <c r="H89" s="590"/>
      <c r="I89" s="493"/>
      <c r="J89" s="494"/>
      <c r="K89" s="493"/>
      <c r="L89" s="520" t="s">
        <v>989</v>
      </c>
      <c r="M89" s="587">
        <f>(600)+(4*600*3)</f>
        <v>7800</v>
      </c>
      <c r="N89" s="587"/>
      <c r="O89" s="504"/>
      <c r="P89" s="504"/>
      <c r="Q89" s="504">
        <v>7800</v>
      </c>
      <c r="R89" s="504"/>
      <c r="S89" s="504"/>
      <c r="T89" s="504"/>
      <c r="U89" s="504"/>
      <c r="V89" s="504"/>
      <c r="W89" s="504"/>
      <c r="X89" s="504"/>
      <c r="Y89" s="504"/>
      <c r="Z89" s="504"/>
      <c r="AA89" s="520"/>
      <c r="AB89" s="506"/>
    </row>
    <row r="90" spans="1:34" s="447" customFormat="1" ht="20.05" customHeight="1">
      <c r="A90" s="462" t="s">
        <v>972</v>
      </c>
      <c r="B90" s="462">
        <v>3</v>
      </c>
      <c r="C90" s="462">
        <v>5</v>
      </c>
      <c r="D90" s="462">
        <v>19</v>
      </c>
      <c r="E90" s="463" t="s">
        <v>990</v>
      </c>
      <c r="F90" s="463"/>
      <c r="G90" s="464"/>
      <c r="H90" s="465"/>
      <c r="I90" s="465"/>
      <c r="J90" s="465"/>
      <c r="K90" s="465"/>
      <c r="L90" s="465"/>
      <c r="M90" s="466"/>
      <c r="N90" s="466">
        <f>SUM(M91:M95)</f>
        <v>21600</v>
      </c>
      <c r="O90" s="466"/>
      <c r="P90" s="466">
        <f>SUM(P91:P95)</f>
        <v>7800</v>
      </c>
      <c r="Q90" s="467">
        <f t="shared" ref="Q90:Z90" si="26">SUM(Q91:Q95)</f>
        <v>0</v>
      </c>
      <c r="R90" s="467">
        <f t="shared" si="26"/>
        <v>0</v>
      </c>
      <c r="S90" s="467">
        <f t="shared" si="26"/>
        <v>1200</v>
      </c>
      <c r="T90" s="467">
        <f t="shared" si="26"/>
        <v>0</v>
      </c>
      <c r="U90" s="467">
        <f t="shared" si="26"/>
        <v>0</v>
      </c>
      <c r="V90" s="467">
        <f t="shared" si="26"/>
        <v>1200</v>
      </c>
      <c r="W90" s="467">
        <f t="shared" si="26"/>
        <v>3600</v>
      </c>
      <c r="X90" s="467">
        <f t="shared" si="26"/>
        <v>7800</v>
      </c>
      <c r="Y90" s="467">
        <f t="shared" si="26"/>
        <v>0</v>
      </c>
      <c r="Z90" s="467">
        <f t="shared" si="26"/>
        <v>0</v>
      </c>
      <c r="AA90" s="465" t="s">
        <v>1241</v>
      </c>
      <c r="AB90" s="467" t="s">
        <v>280</v>
      </c>
      <c r="AC90" s="469">
        <f>SUBTOTAL(9,O90:Q90)</f>
        <v>7800</v>
      </c>
      <c r="AD90" s="469">
        <f>SUBTOTAL(9,R90:T90)</f>
        <v>1200</v>
      </c>
      <c r="AE90" s="469">
        <f>SUBTOTAL(9,U90:W90)</f>
        <v>4800</v>
      </c>
      <c r="AF90" s="469">
        <f>SUBTOTAL(9,X90:Z90)</f>
        <v>7800</v>
      </c>
      <c r="AG90" s="470">
        <f>AC90+AD90+AE90+AF90</f>
        <v>21600</v>
      </c>
      <c r="AH90" s="471">
        <f>N90-AG90</f>
        <v>0</v>
      </c>
    </row>
    <row r="91" spans="1:34" ht="36" customHeight="1">
      <c r="A91" s="3389"/>
      <c r="B91" s="3389"/>
      <c r="C91" s="3389"/>
      <c r="D91" s="3389"/>
      <c r="E91" s="3370" t="s">
        <v>991</v>
      </c>
      <c r="F91" s="3370" t="s">
        <v>992</v>
      </c>
      <c r="G91" s="3370" t="s">
        <v>993</v>
      </c>
      <c r="H91" s="3379" t="s">
        <v>239</v>
      </c>
      <c r="I91" s="3379" t="s">
        <v>239</v>
      </c>
      <c r="J91" s="3379" t="s">
        <v>239</v>
      </c>
      <c r="K91" s="3379" t="s">
        <v>239</v>
      </c>
      <c r="L91" s="500" t="s">
        <v>994</v>
      </c>
      <c r="M91" s="459">
        <f>1*70*65*2</f>
        <v>9100</v>
      </c>
      <c r="N91" s="459"/>
      <c r="O91" s="459"/>
      <c r="P91" s="459">
        <f>1*70*65</f>
        <v>4550</v>
      </c>
      <c r="Q91" s="459"/>
      <c r="R91" s="459"/>
      <c r="S91" s="459"/>
      <c r="T91" s="459"/>
      <c r="U91" s="459"/>
      <c r="V91" s="459"/>
      <c r="W91" s="459"/>
      <c r="X91" s="459">
        <f>1*70*65</f>
        <v>4550</v>
      </c>
      <c r="Y91" s="459"/>
      <c r="Z91" s="459"/>
      <c r="AA91" s="458"/>
      <c r="AB91" s="506"/>
    </row>
    <row r="92" spans="1:34" ht="36.549999999999997" customHeight="1">
      <c r="A92" s="3389"/>
      <c r="B92" s="3389"/>
      <c r="C92" s="3389"/>
      <c r="D92" s="3389"/>
      <c r="E92" s="3384"/>
      <c r="F92" s="3384"/>
      <c r="G92" s="3384"/>
      <c r="H92" s="3390"/>
      <c r="I92" s="3390"/>
      <c r="J92" s="3390"/>
      <c r="K92" s="3390"/>
      <c r="L92" s="500" t="s">
        <v>995</v>
      </c>
      <c r="M92" s="459">
        <f>2*25*65*2</f>
        <v>6500</v>
      </c>
      <c r="N92" s="459"/>
      <c r="O92" s="459"/>
      <c r="P92" s="459">
        <f>2*25*65</f>
        <v>3250</v>
      </c>
      <c r="Q92" s="459"/>
      <c r="R92" s="459"/>
      <c r="S92" s="459"/>
      <c r="T92" s="459"/>
      <c r="U92" s="459"/>
      <c r="V92" s="459"/>
      <c r="W92" s="459"/>
      <c r="X92" s="459">
        <f>2*25*65</f>
        <v>3250</v>
      </c>
      <c r="Y92" s="459"/>
      <c r="Z92" s="459"/>
      <c r="AA92" s="458"/>
      <c r="AB92" s="506"/>
    </row>
    <row r="93" spans="1:34" ht="27" customHeight="1">
      <c r="A93" s="3389"/>
      <c r="B93" s="3389"/>
      <c r="C93" s="3389"/>
      <c r="D93" s="3389"/>
      <c r="E93" s="3384"/>
      <c r="F93" s="3384"/>
      <c r="G93" s="3384"/>
      <c r="H93" s="589"/>
      <c r="I93" s="589"/>
      <c r="J93" s="589"/>
      <c r="K93" s="589"/>
      <c r="L93" s="582" t="s">
        <v>981</v>
      </c>
      <c r="M93" s="459">
        <f>70*10*2</f>
        <v>1400</v>
      </c>
      <c r="N93" s="459"/>
      <c r="O93" s="459"/>
      <c r="P93" s="459"/>
      <c r="Q93" s="459"/>
      <c r="R93" s="459"/>
      <c r="S93" s="459">
        <f>70*10</f>
        <v>700</v>
      </c>
      <c r="T93" s="459"/>
      <c r="U93" s="459"/>
      <c r="V93" s="459">
        <f>70*10</f>
        <v>700</v>
      </c>
      <c r="W93" s="459"/>
      <c r="X93" s="459"/>
      <c r="Y93" s="459"/>
      <c r="Z93" s="459"/>
      <c r="AA93" s="458"/>
      <c r="AB93" s="506"/>
    </row>
    <row r="94" spans="1:34" ht="36.549999999999997" customHeight="1">
      <c r="A94" s="3389"/>
      <c r="B94" s="3389"/>
      <c r="C94" s="3389"/>
      <c r="D94" s="3389"/>
      <c r="E94" s="3371"/>
      <c r="F94" s="3371"/>
      <c r="G94" s="3371"/>
      <c r="H94" s="494"/>
      <c r="I94" s="494"/>
      <c r="J94" s="494"/>
      <c r="K94" s="494"/>
      <c r="L94" s="500" t="s">
        <v>982</v>
      </c>
      <c r="M94" s="459">
        <f>2*25*10*2</f>
        <v>1000</v>
      </c>
      <c r="N94" s="459"/>
      <c r="O94" s="459"/>
      <c r="P94" s="459"/>
      <c r="Q94" s="459"/>
      <c r="R94" s="459"/>
      <c r="S94" s="459">
        <f>2*25*10</f>
        <v>500</v>
      </c>
      <c r="T94" s="459"/>
      <c r="U94" s="459"/>
      <c r="V94" s="459">
        <f>2*25*10</f>
        <v>500</v>
      </c>
      <c r="W94" s="459"/>
      <c r="X94" s="459"/>
      <c r="Y94" s="459"/>
      <c r="Z94" s="459"/>
      <c r="AA94" s="458"/>
      <c r="AB94" s="506"/>
    </row>
    <row r="95" spans="1:34" ht="45" customHeight="1">
      <c r="A95" s="3397"/>
      <c r="B95" s="3397"/>
      <c r="C95" s="3397"/>
      <c r="D95" s="3397"/>
      <c r="E95" s="520" t="s">
        <v>996</v>
      </c>
      <c r="F95" s="520" t="s">
        <v>997</v>
      </c>
      <c r="G95" s="569" t="s">
        <v>998</v>
      </c>
      <c r="H95" s="569"/>
      <c r="I95" s="570" t="s">
        <v>768</v>
      </c>
      <c r="J95" s="569" t="s">
        <v>768</v>
      </c>
      <c r="K95" s="570"/>
      <c r="L95" s="520" t="s">
        <v>999</v>
      </c>
      <c r="M95" s="504">
        <f>6*5*120</f>
        <v>3600</v>
      </c>
      <c r="N95" s="459"/>
      <c r="O95" s="587"/>
      <c r="P95" s="587"/>
      <c r="Q95" s="587"/>
      <c r="R95" s="587"/>
      <c r="S95" s="587"/>
      <c r="T95" s="587"/>
      <c r="U95" s="587"/>
      <c r="V95" s="587"/>
      <c r="W95" s="587">
        <f>M95</f>
        <v>3600</v>
      </c>
      <c r="X95" s="587"/>
      <c r="Y95" s="587"/>
      <c r="Z95" s="587"/>
      <c r="AA95" s="569"/>
      <c r="AB95" s="506"/>
    </row>
    <row r="96" spans="1:34" s="447" customFormat="1" ht="20.05" customHeight="1">
      <c r="A96" s="462" t="s">
        <v>972</v>
      </c>
      <c r="B96" s="462">
        <v>3</v>
      </c>
      <c r="C96" s="462">
        <v>5</v>
      </c>
      <c r="D96" s="462">
        <v>20</v>
      </c>
      <c r="E96" s="463" t="s">
        <v>1000</v>
      </c>
      <c r="F96" s="463"/>
      <c r="G96" s="464"/>
      <c r="H96" s="465" t="s">
        <v>978</v>
      </c>
      <c r="I96" s="465" t="s">
        <v>978</v>
      </c>
      <c r="J96" s="465"/>
      <c r="K96" s="465" t="s">
        <v>978</v>
      </c>
      <c r="L96" s="465"/>
      <c r="M96" s="466" t="s">
        <v>978</v>
      </c>
      <c r="N96" s="466">
        <f>SUM(M97:M98)</f>
        <v>13200</v>
      </c>
      <c r="O96" s="466"/>
      <c r="P96" s="466"/>
      <c r="Q96" s="467"/>
      <c r="R96" s="467"/>
      <c r="S96" s="467">
        <f>SUM(S97:S98)</f>
        <v>6600</v>
      </c>
      <c r="T96" s="467">
        <f t="shared" ref="T96:W96" si="27">SUM(T97:T98)</f>
        <v>0</v>
      </c>
      <c r="U96" s="467">
        <f t="shared" si="27"/>
        <v>0</v>
      </c>
      <c r="V96" s="467">
        <f t="shared" si="27"/>
        <v>0</v>
      </c>
      <c r="W96" s="467">
        <f t="shared" si="27"/>
        <v>0</v>
      </c>
      <c r="X96" s="467">
        <f>SUM(X97:X98)</f>
        <v>6600</v>
      </c>
      <c r="Y96" s="467"/>
      <c r="Z96" s="467"/>
      <c r="AA96" s="465" t="s">
        <v>1241</v>
      </c>
      <c r="AB96" s="467" t="s">
        <v>280</v>
      </c>
      <c r="AC96" s="469">
        <f>SUBTOTAL(9,O96:Q96)</f>
        <v>0</v>
      </c>
      <c r="AD96" s="469">
        <f>SUBTOTAL(9,R96:T96)</f>
        <v>6600</v>
      </c>
      <c r="AE96" s="469">
        <f>SUBTOTAL(9,U96:W96)</f>
        <v>0</v>
      </c>
      <c r="AF96" s="469">
        <f>SUBTOTAL(9,X96:Z96)</f>
        <v>6600</v>
      </c>
      <c r="AG96" s="470">
        <f>AC96+AD96+AE96+AF96</f>
        <v>13200</v>
      </c>
      <c r="AH96" s="471">
        <f>N96-AG96</f>
        <v>0</v>
      </c>
    </row>
    <row r="97" spans="1:34" ht="32.5" customHeight="1">
      <c r="A97" s="3389"/>
      <c r="B97" s="3389"/>
      <c r="C97" s="3389"/>
      <c r="D97" s="3389"/>
      <c r="E97" s="3370" t="s">
        <v>1001</v>
      </c>
      <c r="F97" s="3404" t="s">
        <v>1002</v>
      </c>
      <c r="G97" s="3370" t="s">
        <v>1003</v>
      </c>
      <c r="H97" s="491"/>
      <c r="I97" s="491" t="s">
        <v>768</v>
      </c>
      <c r="J97" s="491" t="s">
        <v>768</v>
      </c>
      <c r="K97" s="491"/>
      <c r="L97" s="500" t="s">
        <v>1004</v>
      </c>
      <c r="M97" s="459">
        <f>1*70*55*2</f>
        <v>7700</v>
      </c>
      <c r="N97" s="587"/>
      <c r="O97" s="504"/>
      <c r="P97" s="504"/>
      <c r="Q97" s="504"/>
      <c r="R97" s="504"/>
      <c r="S97" s="504">
        <f>M97/2</f>
        <v>3850</v>
      </c>
      <c r="T97" s="504"/>
      <c r="U97" s="504"/>
      <c r="V97" s="504"/>
      <c r="W97" s="504"/>
      <c r="X97" s="504">
        <f>S97</f>
        <v>3850</v>
      </c>
      <c r="Y97" s="504"/>
      <c r="Z97" s="504"/>
      <c r="AA97" s="569"/>
      <c r="AB97" s="506"/>
    </row>
    <row r="98" spans="1:34" ht="30.9">
      <c r="A98" s="3389"/>
      <c r="B98" s="3389"/>
      <c r="C98" s="3389"/>
      <c r="D98" s="3389"/>
      <c r="E98" s="3384"/>
      <c r="F98" s="3385"/>
      <c r="G98" s="3384"/>
      <c r="H98" s="591"/>
      <c r="I98" s="489"/>
      <c r="J98" s="579"/>
      <c r="K98" s="489"/>
      <c r="L98" s="500" t="s">
        <v>1005</v>
      </c>
      <c r="M98" s="525">
        <f>2*25*55*2</f>
        <v>5500</v>
      </c>
      <c r="N98" s="525"/>
      <c r="O98" s="518"/>
      <c r="P98" s="518"/>
      <c r="Q98" s="518"/>
      <c r="R98" s="518"/>
      <c r="S98" s="518">
        <f>M98/2</f>
        <v>2750</v>
      </c>
      <c r="T98" s="518"/>
      <c r="U98" s="518"/>
      <c r="V98" s="518"/>
      <c r="W98" s="518"/>
      <c r="X98" s="518">
        <f>S98</f>
        <v>2750</v>
      </c>
      <c r="Y98" s="518"/>
      <c r="Z98" s="518"/>
      <c r="AA98" s="526"/>
      <c r="AB98" s="529"/>
      <c r="AC98" s="452"/>
      <c r="AD98" s="452"/>
      <c r="AE98" s="452"/>
      <c r="AF98" s="452"/>
    </row>
    <row r="99" spans="1:34" s="447" customFormat="1" ht="20.05" customHeight="1">
      <c r="A99" s="462" t="s">
        <v>972</v>
      </c>
      <c r="B99" s="462">
        <v>3</v>
      </c>
      <c r="C99" s="462">
        <v>5</v>
      </c>
      <c r="D99" s="462">
        <v>21</v>
      </c>
      <c r="E99" s="463" t="s">
        <v>1006</v>
      </c>
      <c r="F99" s="463"/>
      <c r="G99" s="464"/>
      <c r="H99" s="465"/>
      <c r="I99" s="465" t="s">
        <v>978</v>
      </c>
      <c r="J99" s="465"/>
      <c r="K99" s="465"/>
      <c r="L99" s="465"/>
      <c r="M99" s="466"/>
      <c r="N99" s="466">
        <f>SUM(M100:M101)</f>
        <v>8400</v>
      </c>
      <c r="O99" s="466"/>
      <c r="P99" s="466"/>
      <c r="Q99" s="467">
        <f>SUM(Q100:Q101)</f>
        <v>4200</v>
      </c>
      <c r="R99" s="467">
        <f t="shared" ref="R99:W99" si="28">SUM(R100:R101)</f>
        <v>0</v>
      </c>
      <c r="S99" s="467">
        <f t="shared" si="28"/>
        <v>0</v>
      </c>
      <c r="T99" s="467">
        <f t="shared" si="28"/>
        <v>0</v>
      </c>
      <c r="U99" s="467">
        <f t="shared" si="28"/>
        <v>0</v>
      </c>
      <c r="V99" s="467">
        <f t="shared" si="28"/>
        <v>0</v>
      </c>
      <c r="W99" s="467">
        <f t="shared" si="28"/>
        <v>4200</v>
      </c>
      <c r="X99" s="467"/>
      <c r="Y99" s="467"/>
      <c r="Z99" s="467"/>
      <c r="AA99" s="465" t="s">
        <v>1241</v>
      </c>
      <c r="AB99" s="467" t="s">
        <v>280</v>
      </c>
      <c r="AC99" s="469">
        <f>SUBTOTAL(9,O99:Q99)</f>
        <v>4200</v>
      </c>
      <c r="AD99" s="469">
        <f>SUBTOTAL(9,R99:T99)</f>
        <v>0</v>
      </c>
      <c r="AE99" s="469">
        <f>SUBTOTAL(9,U99:W99)</f>
        <v>4200</v>
      </c>
      <c r="AF99" s="469">
        <f>SUBTOTAL(9,X99:Z99)</f>
        <v>0</v>
      </c>
      <c r="AG99" s="470">
        <f>AC99+AD99+AE99+AF99</f>
        <v>8400</v>
      </c>
      <c r="AH99" s="471">
        <f>N99-AG99</f>
        <v>0</v>
      </c>
    </row>
    <row r="100" spans="1:34" ht="30.9">
      <c r="A100" s="3389"/>
      <c r="B100" s="3389"/>
      <c r="C100" s="3389"/>
      <c r="D100" s="3389"/>
      <c r="E100" s="3370" t="s">
        <v>1007</v>
      </c>
      <c r="F100" s="3393" t="s">
        <v>1008</v>
      </c>
      <c r="G100" s="3404" t="s">
        <v>1009</v>
      </c>
      <c r="H100" s="3398"/>
      <c r="I100" s="3400" t="s">
        <v>768</v>
      </c>
      <c r="J100" s="3398" t="s">
        <v>768</v>
      </c>
      <c r="K100" s="3398"/>
      <c r="L100" s="592" t="s">
        <v>1010</v>
      </c>
      <c r="M100" s="525">
        <f>1*70*35*2</f>
        <v>4900</v>
      </c>
      <c r="N100" s="525"/>
      <c r="O100" s="518"/>
      <c r="P100" s="518"/>
      <c r="Q100" s="518">
        <f>M100/2</f>
        <v>2450</v>
      </c>
      <c r="R100" s="518"/>
      <c r="S100" s="518"/>
      <c r="T100" s="518"/>
      <c r="U100" s="518"/>
      <c r="V100" s="518"/>
      <c r="W100" s="518">
        <f>Q100</f>
        <v>2450</v>
      </c>
      <c r="X100" s="518"/>
      <c r="Y100" s="518"/>
      <c r="Z100" s="518"/>
      <c r="AA100" s="526"/>
      <c r="AB100" s="529"/>
      <c r="AC100" s="452"/>
      <c r="AD100" s="452"/>
      <c r="AE100" s="452"/>
      <c r="AF100" s="452"/>
    </row>
    <row r="101" spans="1:34" ht="30.9">
      <c r="A101" s="3389"/>
      <c r="B101" s="3389"/>
      <c r="C101" s="3389"/>
      <c r="D101" s="3389"/>
      <c r="E101" s="3384"/>
      <c r="F101" s="3387"/>
      <c r="G101" s="3385"/>
      <c r="H101" s="3399"/>
      <c r="I101" s="3401"/>
      <c r="J101" s="3399"/>
      <c r="K101" s="3399"/>
      <c r="L101" s="500" t="s">
        <v>1011</v>
      </c>
      <c r="M101" s="525">
        <f>2*25*35*2</f>
        <v>3500</v>
      </c>
      <c r="N101" s="525"/>
      <c r="O101" s="518"/>
      <c r="P101" s="518"/>
      <c r="Q101" s="518">
        <f>M101/2</f>
        <v>1750</v>
      </c>
      <c r="R101" s="518"/>
      <c r="S101" s="518"/>
      <c r="T101" s="518"/>
      <c r="U101" s="518"/>
      <c r="V101" s="518"/>
      <c r="W101" s="518">
        <f>Q101</f>
        <v>1750</v>
      </c>
      <c r="X101" s="518"/>
      <c r="Y101" s="518"/>
      <c r="Z101" s="518"/>
      <c r="AA101" s="526"/>
      <c r="AB101" s="529"/>
      <c r="AC101" s="452"/>
      <c r="AD101" s="452"/>
      <c r="AE101" s="452"/>
      <c r="AF101" s="452"/>
    </row>
    <row r="102" spans="1:34" s="447" customFormat="1" ht="20.05" customHeight="1">
      <c r="A102" s="462" t="s">
        <v>972</v>
      </c>
      <c r="B102" s="462">
        <v>3</v>
      </c>
      <c r="C102" s="462">
        <v>5</v>
      </c>
      <c r="D102" s="462">
        <v>22</v>
      </c>
      <c r="E102" s="463" t="s">
        <v>1012</v>
      </c>
      <c r="F102" s="463"/>
      <c r="G102" s="464"/>
      <c r="H102" s="465"/>
      <c r="I102" s="465"/>
      <c r="J102" s="465"/>
      <c r="K102" s="465"/>
      <c r="L102" s="465"/>
      <c r="M102" s="466"/>
      <c r="N102" s="466">
        <f>M103</f>
        <v>6250</v>
      </c>
      <c r="O102" s="466">
        <f>SUM(O103)</f>
        <v>0</v>
      </c>
      <c r="P102" s="466">
        <f t="shared" ref="P102:Z102" si="29">SUM(P103)</f>
        <v>0</v>
      </c>
      <c r="Q102" s="466">
        <f t="shared" si="29"/>
        <v>0</v>
      </c>
      <c r="R102" s="466">
        <f t="shared" si="29"/>
        <v>6250</v>
      </c>
      <c r="S102" s="466">
        <f t="shared" si="29"/>
        <v>0</v>
      </c>
      <c r="T102" s="466">
        <f t="shared" si="29"/>
        <v>0</v>
      </c>
      <c r="U102" s="466">
        <f t="shared" si="29"/>
        <v>0</v>
      </c>
      <c r="V102" s="466">
        <f t="shared" si="29"/>
        <v>0</v>
      </c>
      <c r="W102" s="466">
        <f t="shared" si="29"/>
        <v>0</v>
      </c>
      <c r="X102" s="466">
        <f t="shared" si="29"/>
        <v>0</v>
      </c>
      <c r="Y102" s="466">
        <f t="shared" si="29"/>
        <v>0</v>
      </c>
      <c r="Z102" s="466">
        <f t="shared" si="29"/>
        <v>0</v>
      </c>
      <c r="AA102" s="465" t="s">
        <v>1241</v>
      </c>
      <c r="AB102" s="467" t="s">
        <v>280</v>
      </c>
      <c r="AC102" s="469">
        <f>SUBTOTAL(9,O102:Q102)</f>
        <v>0</v>
      </c>
      <c r="AD102" s="469">
        <f>SUBTOTAL(9,R102:T102)</f>
        <v>6250</v>
      </c>
      <c r="AE102" s="469">
        <f>SUBTOTAL(9,U102:W102)</f>
        <v>0</v>
      </c>
      <c r="AF102" s="469">
        <f>SUBTOTAL(9,X102:Z102)</f>
        <v>0</v>
      </c>
      <c r="AG102" s="470">
        <f>AC102+AD102+AE102+AF102</f>
        <v>6250</v>
      </c>
      <c r="AH102" s="471">
        <f>N102-AG102</f>
        <v>0</v>
      </c>
    </row>
    <row r="103" spans="1:34" ht="52.5" customHeight="1">
      <c r="A103" s="570"/>
      <c r="B103" s="570"/>
      <c r="C103" s="570"/>
      <c r="D103" s="570"/>
      <c r="E103" s="592" t="s">
        <v>1013</v>
      </c>
      <c r="F103" s="593" t="s">
        <v>1014</v>
      </c>
      <c r="G103" s="593" t="s">
        <v>1015</v>
      </c>
      <c r="H103" s="592" t="s">
        <v>978</v>
      </c>
      <c r="I103" s="594" t="s">
        <v>768</v>
      </c>
      <c r="J103" s="592"/>
      <c r="K103" s="594"/>
      <c r="L103" s="500" t="s">
        <v>1016</v>
      </c>
      <c r="M103" s="518">
        <f>25*250</f>
        <v>6250</v>
      </c>
      <c r="N103" s="525"/>
      <c r="O103" s="525"/>
      <c r="P103" s="525"/>
      <c r="Q103" s="525"/>
      <c r="R103" s="525">
        <v>6250</v>
      </c>
      <c r="S103" s="525"/>
      <c r="T103" s="525"/>
      <c r="U103" s="525"/>
      <c r="V103" s="525"/>
      <c r="W103" s="525"/>
      <c r="X103" s="525"/>
      <c r="Y103" s="525"/>
      <c r="Z103" s="525"/>
      <c r="AA103" s="592"/>
      <c r="AB103" s="529"/>
      <c r="AC103" s="452"/>
      <c r="AD103" s="452"/>
      <c r="AE103" s="452"/>
      <c r="AF103" s="452"/>
    </row>
    <row r="104" spans="1:34" s="447" customFormat="1" ht="23.05" customHeight="1">
      <c r="A104" s="462"/>
      <c r="B104" s="462"/>
      <c r="C104" s="462"/>
      <c r="D104" s="462">
        <v>23</v>
      </c>
      <c r="E104" s="463" t="s">
        <v>1017</v>
      </c>
      <c r="F104" s="463"/>
      <c r="G104" s="464"/>
      <c r="H104" s="465"/>
      <c r="I104" s="465"/>
      <c r="J104" s="465"/>
      <c r="K104" s="465"/>
      <c r="L104" s="465"/>
      <c r="M104" s="466"/>
      <c r="N104" s="466">
        <f>SUM(M105:M106)</f>
        <v>1768000</v>
      </c>
      <c r="O104" s="466">
        <f>SUBTOTAL(9,O105:O106)</f>
        <v>0</v>
      </c>
      <c r="P104" s="466">
        <f t="shared" ref="P104:Z104" si="30">SUBTOTAL(9,P105:P106)</f>
        <v>0</v>
      </c>
      <c r="Q104" s="466">
        <f t="shared" si="30"/>
        <v>0</v>
      </c>
      <c r="R104" s="466">
        <f t="shared" si="30"/>
        <v>0</v>
      </c>
      <c r="S104" s="466">
        <f>S105+S106</f>
        <v>353600</v>
      </c>
      <c r="T104" s="466">
        <f t="shared" ref="T104:W104" si="31">T105+T106</f>
        <v>353600</v>
      </c>
      <c r="U104" s="466">
        <f t="shared" si="31"/>
        <v>353600</v>
      </c>
      <c r="V104" s="466">
        <f t="shared" si="31"/>
        <v>353600</v>
      </c>
      <c r="W104" s="466">
        <f t="shared" si="31"/>
        <v>353600</v>
      </c>
      <c r="X104" s="466">
        <f t="shared" si="30"/>
        <v>0</v>
      </c>
      <c r="Y104" s="466">
        <f t="shared" si="30"/>
        <v>0</v>
      </c>
      <c r="Z104" s="466">
        <f t="shared" si="30"/>
        <v>0</v>
      </c>
      <c r="AA104" s="465" t="s">
        <v>1241</v>
      </c>
      <c r="AB104" s="467" t="s">
        <v>591</v>
      </c>
      <c r="AC104" s="469">
        <f>SUBTOTAL(9,O104:Q104)</f>
        <v>0</v>
      </c>
      <c r="AD104" s="469">
        <f>SUBTOTAL(9,R104:T104)</f>
        <v>707200</v>
      </c>
      <c r="AE104" s="469">
        <f>SUBTOTAL(9,U104:W104)</f>
        <v>1060800</v>
      </c>
      <c r="AF104" s="469">
        <f>SUBTOTAL(9,X104:Z104)</f>
        <v>0</v>
      </c>
      <c r="AG104" s="470">
        <f>AC104+AD104+AE104+AF104</f>
        <v>1768000</v>
      </c>
      <c r="AH104" s="471">
        <f>N104-AG104</f>
        <v>0</v>
      </c>
    </row>
    <row r="105" spans="1:34" ht="20.6">
      <c r="A105" s="555"/>
      <c r="B105" s="555"/>
      <c r="C105" s="555"/>
      <c r="D105" s="474"/>
      <c r="E105" s="555"/>
      <c r="F105" s="3402" t="s">
        <v>1018</v>
      </c>
      <c r="G105" s="3402" t="s">
        <v>1019</v>
      </c>
      <c r="H105" s="477"/>
      <c r="I105" s="477" t="s">
        <v>768</v>
      </c>
      <c r="J105" s="477" t="s">
        <v>768</v>
      </c>
      <c r="K105" s="477" t="s">
        <v>768</v>
      </c>
      <c r="L105" s="595" t="s">
        <v>1020</v>
      </c>
      <c r="M105" s="479">
        <f>80*13600</f>
        <v>1088000</v>
      </c>
      <c r="N105" s="596"/>
      <c r="O105" s="479"/>
      <c r="P105" s="479"/>
      <c r="Q105" s="479"/>
      <c r="R105" s="479"/>
      <c r="S105" s="479">
        <v>217600</v>
      </c>
      <c r="T105" s="479">
        <v>217600</v>
      </c>
      <c r="U105" s="479">
        <v>217600</v>
      </c>
      <c r="V105" s="479">
        <v>217600</v>
      </c>
      <c r="W105" s="479">
        <v>217600</v>
      </c>
      <c r="X105" s="479"/>
      <c r="Y105" s="479"/>
      <c r="Z105" s="479"/>
      <c r="AA105" s="477" t="s">
        <v>1021</v>
      </c>
      <c r="AB105" s="597" t="s">
        <v>591</v>
      </c>
      <c r="AC105" s="576"/>
      <c r="AD105" s="576"/>
      <c r="AE105" s="576"/>
      <c r="AF105" s="576"/>
    </row>
    <row r="106" spans="1:34" ht="20.6">
      <c r="A106" s="527"/>
      <c r="B106" s="527"/>
      <c r="C106" s="527"/>
      <c r="D106" s="486"/>
      <c r="E106" s="598"/>
      <c r="F106" s="3403"/>
      <c r="G106" s="3403"/>
      <c r="H106" s="489"/>
      <c r="I106" s="489"/>
      <c r="J106" s="489"/>
      <c r="K106" s="489"/>
      <c r="L106" s="595" t="s">
        <v>1022</v>
      </c>
      <c r="M106" s="479">
        <f>25*2*13600</f>
        <v>680000</v>
      </c>
      <c r="N106" s="599"/>
      <c r="O106" s="479"/>
      <c r="P106" s="479"/>
      <c r="Q106" s="479"/>
      <c r="R106" s="479"/>
      <c r="S106" s="479">
        <v>136000</v>
      </c>
      <c r="T106" s="479">
        <v>136000</v>
      </c>
      <c r="U106" s="479">
        <v>136000</v>
      </c>
      <c r="V106" s="479">
        <v>136000</v>
      </c>
      <c r="W106" s="479">
        <v>136000</v>
      </c>
      <c r="X106" s="479"/>
      <c r="Y106" s="479"/>
      <c r="Z106" s="479"/>
      <c r="AA106" s="489" t="s">
        <v>1023</v>
      </c>
      <c r="AB106" s="600"/>
      <c r="AC106" s="576"/>
      <c r="AD106" s="576"/>
      <c r="AE106" s="576"/>
      <c r="AF106" s="576"/>
    </row>
    <row r="107" spans="1:34" s="447" customFormat="1" ht="21" customHeight="1">
      <c r="A107" s="462"/>
      <c r="B107" s="462"/>
      <c r="C107" s="462"/>
      <c r="D107" s="462">
        <v>24</v>
      </c>
      <c r="E107" s="463" t="s">
        <v>1024</v>
      </c>
      <c r="F107" s="463"/>
      <c r="G107" s="464"/>
      <c r="H107" s="465"/>
      <c r="I107" s="465"/>
      <c r="J107" s="465"/>
      <c r="K107" s="465"/>
      <c r="L107" s="465"/>
      <c r="M107" s="466"/>
      <c r="N107" s="466">
        <f>SUM(M108:M113)</f>
        <v>239600</v>
      </c>
      <c r="O107" s="466"/>
      <c r="P107" s="466"/>
      <c r="Q107" s="467">
        <f>SUM(Q108:Q113)</f>
        <v>206000</v>
      </c>
      <c r="R107" s="467">
        <f t="shared" ref="R107:X107" si="32">SUM(R108:R113)</f>
        <v>0</v>
      </c>
      <c r="S107" s="467">
        <f t="shared" si="32"/>
        <v>0</v>
      </c>
      <c r="T107" s="467">
        <f t="shared" si="32"/>
        <v>0</v>
      </c>
      <c r="U107" s="467">
        <f t="shared" si="32"/>
        <v>0</v>
      </c>
      <c r="V107" s="467">
        <f t="shared" si="32"/>
        <v>0</v>
      </c>
      <c r="W107" s="467">
        <f t="shared" si="32"/>
        <v>33600</v>
      </c>
      <c r="X107" s="467">
        <f t="shared" si="32"/>
        <v>0</v>
      </c>
      <c r="Y107" s="467"/>
      <c r="Z107" s="467"/>
      <c r="AA107" s="465" t="s">
        <v>1241</v>
      </c>
      <c r="AB107" s="467" t="s">
        <v>1048</v>
      </c>
      <c r="AC107" s="469">
        <f>SUBTOTAL(9,O107:Q107)</f>
        <v>206000</v>
      </c>
      <c r="AD107" s="469">
        <f>SUBTOTAL(9,R107:T107)</f>
        <v>0</v>
      </c>
      <c r="AE107" s="469">
        <f>SUBTOTAL(9,U107:W107)</f>
        <v>33600</v>
      </c>
      <c r="AF107" s="469">
        <f>SUBTOTAL(9,X107:Z107)</f>
        <v>0</v>
      </c>
      <c r="AG107" s="470">
        <f>AC107+AD107+AE107+AF107</f>
        <v>239600</v>
      </c>
      <c r="AH107" s="471">
        <f>N107-AG107</f>
        <v>0</v>
      </c>
    </row>
    <row r="108" spans="1:34" ht="24" customHeight="1">
      <c r="A108" s="555"/>
      <c r="B108" s="555"/>
      <c r="C108" s="555"/>
      <c r="D108" s="601"/>
      <c r="E108" s="3405" t="s">
        <v>1025</v>
      </c>
      <c r="F108" s="3405"/>
      <c r="G108" s="3405" t="s">
        <v>1026</v>
      </c>
      <c r="H108" s="494"/>
      <c r="I108" s="494"/>
      <c r="J108" s="494"/>
      <c r="K108" s="494"/>
      <c r="L108" s="558" t="s">
        <v>1027</v>
      </c>
      <c r="M108" s="459">
        <f>50*2000</f>
        <v>100000</v>
      </c>
      <c r="N108" s="602"/>
      <c r="O108" s="459"/>
      <c r="P108" s="459"/>
      <c r="Q108" s="459">
        <f>M108</f>
        <v>100000</v>
      </c>
      <c r="R108" s="459"/>
      <c r="S108" s="479"/>
      <c r="T108" s="479"/>
      <c r="U108" s="479"/>
      <c r="V108" s="479"/>
      <c r="W108" s="479"/>
      <c r="X108" s="479"/>
      <c r="Y108" s="479"/>
      <c r="Z108" s="479"/>
      <c r="AA108" s="489"/>
      <c r="AB108" s="600"/>
      <c r="AC108" s="576"/>
      <c r="AD108" s="576"/>
      <c r="AE108" s="576"/>
      <c r="AF108" s="576"/>
    </row>
    <row r="109" spans="1:34" ht="21.55" customHeight="1">
      <c r="A109" s="515"/>
      <c r="B109" s="515"/>
      <c r="C109" s="515"/>
      <c r="D109" s="603"/>
      <c r="E109" s="3405"/>
      <c r="F109" s="3405"/>
      <c r="G109" s="3405"/>
      <c r="H109" s="494"/>
      <c r="I109" s="494"/>
      <c r="J109" s="494"/>
      <c r="K109" s="494"/>
      <c r="L109" s="558" t="s">
        <v>1028</v>
      </c>
      <c r="M109" s="459">
        <f>25*2*2000</f>
        <v>100000</v>
      </c>
      <c r="N109" s="602"/>
      <c r="O109" s="459"/>
      <c r="P109" s="459"/>
      <c r="Q109" s="459">
        <f>M109</f>
        <v>100000</v>
      </c>
      <c r="R109" s="459"/>
      <c r="S109" s="479"/>
      <c r="T109" s="479"/>
      <c r="U109" s="479"/>
      <c r="V109" s="479"/>
      <c r="W109" s="479"/>
      <c r="X109" s="479"/>
      <c r="Y109" s="479"/>
      <c r="Z109" s="479"/>
      <c r="AA109" s="489"/>
      <c r="AB109" s="600"/>
      <c r="AC109" s="576"/>
      <c r="AD109" s="576"/>
      <c r="AE109" s="576"/>
      <c r="AF109" s="576"/>
    </row>
    <row r="110" spans="1:34" ht="21.55" customHeight="1">
      <c r="A110" s="515"/>
      <c r="B110" s="515"/>
      <c r="C110" s="515"/>
      <c r="D110" s="603"/>
      <c r="E110" s="3405" t="s">
        <v>1029</v>
      </c>
      <c r="F110" s="3405"/>
      <c r="G110" s="3405" t="s">
        <v>1030</v>
      </c>
      <c r="H110" s="494"/>
      <c r="I110" s="494"/>
      <c r="J110" s="494"/>
      <c r="K110" s="494"/>
      <c r="L110" s="558" t="s">
        <v>1031</v>
      </c>
      <c r="M110" s="459">
        <f>25*50*2</f>
        <v>2500</v>
      </c>
      <c r="N110" s="602"/>
      <c r="O110" s="459"/>
      <c r="P110" s="459"/>
      <c r="Q110" s="459">
        <f>M110</f>
        <v>2500</v>
      </c>
      <c r="R110" s="459"/>
      <c r="S110" s="479"/>
      <c r="T110" s="479"/>
      <c r="U110" s="479"/>
      <c r="V110" s="479"/>
      <c r="W110" s="479"/>
      <c r="X110" s="479"/>
      <c r="Y110" s="479"/>
      <c r="Z110" s="479"/>
      <c r="AA110" s="489"/>
      <c r="AB110" s="600"/>
      <c r="AC110" s="576"/>
      <c r="AD110" s="576"/>
      <c r="AE110" s="576"/>
      <c r="AF110" s="576"/>
    </row>
    <row r="111" spans="1:34" ht="21.55" customHeight="1">
      <c r="A111" s="515"/>
      <c r="B111" s="515"/>
      <c r="C111" s="515"/>
      <c r="D111" s="603"/>
      <c r="E111" s="3405"/>
      <c r="F111" s="3405"/>
      <c r="G111" s="3405"/>
      <c r="H111" s="494"/>
      <c r="I111" s="494"/>
      <c r="J111" s="494"/>
      <c r="K111" s="494"/>
      <c r="L111" s="558" t="s">
        <v>1032</v>
      </c>
      <c r="M111" s="459">
        <f>70*50</f>
        <v>3500</v>
      </c>
      <c r="N111" s="602"/>
      <c r="O111" s="459"/>
      <c r="P111" s="459"/>
      <c r="Q111" s="459">
        <f>M111</f>
        <v>3500</v>
      </c>
      <c r="R111" s="459"/>
      <c r="S111" s="479"/>
      <c r="T111" s="479"/>
      <c r="U111" s="479"/>
      <c r="V111" s="479"/>
      <c r="W111" s="479"/>
      <c r="X111" s="479"/>
      <c r="Y111" s="479"/>
      <c r="Z111" s="479"/>
      <c r="AA111" s="489"/>
      <c r="AB111" s="600"/>
      <c r="AC111" s="576"/>
      <c r="AD111" s="576"/>
      <c r="AE111" s="576"/>
      <c r="AF111" s="576"/>
    </row>
    <row r="112" spans="1:34" ht="21.55" customHeight="1">
      <c r="A112" s="515"/>
      <c r="B112" s="515"/>
      <c r="C112" s="515"/>
      <c r="D112" s="603"/>
      <c r="E112" s="3405" t="s">
        <v>1033</v>
      </c>
      <c r="F112" s="3405"/>
      <c r="G112" s="3405" t="s">
        <v>1034</v>
      </c>
      <c r="H112" s="494"/>
      <c r="I112" s="494"/>
      <c r="J112" s="494"/>
      <c r="K112" s="494"/>
      <c r="L112" s="558" t="s">
        <v>1035</v>
      </c>
      <c r="M112" s="459">
        <f>70*280</f>
        <v>19600</v>
      </c>
      <c r="N112" s="602"/>
      <c r="O112" s="459"/>
      <c r="P112" s="459"/>
      <c r="Q112" s="459"/>
      <c r="R112" s="459"/>
      <c r="S112" s="479"/>
      <c r="T112" s="479"/>
      <c r="U112" s="479"/>
      <c r="V112" s="479"/>
      <c r="W112" s="479">
        <f>M112</f>
        <v>19600</v>
      </c>
      <c r="X112" s="479"/>
      <c r="Y112" s="479"/>
      <c r="Z112" s="479"/>
      <c r="AA112" s="489"/>
      <c r="AB112" s="600"/>
      <c r="AC112" s="576"/>
      <c r="AD112" s="576"/>
      <c r="AE112" s="576"/>
      <c r="AF112" s="576"/>
    </row>
    <row r="113" spans="1:34" ht="21.55" customHeight="1">
      <c r="A113" s="527"/>
      <c r="B113" s="527"/>
      <c r="C113" s="527"/>
      <c r="D113" s="604"/>
      <c r="E113" s="3405"/>
      <c r="F113" s="3405"/>
      <c r="G113" s="3405"/>
      <c r="H113" s="494"/>
      <c r="I113" s="494"/>
      <c r="J113" s="494"/>
      <c r="K113" s="494"/>
      <c r="L113" s="558" t="s">
        <v>1036</v>
      </c>
      <c r="M113" s="459">
        <f>25*2*280</f>
        <v>14000</v>
      </c>
      <c r="N113" s="602"/>
      <c r="O113" s="459"/>
      <c r="P113" s="459"/>
      <c r="Q113" s="459"/>
      <c r="R113" s="459"/>
      <c r="S113" s="479"/>
      <c r="T113" s="479"/>
      <c r="U113" s="479"/>
      <c r="V113" s="479"/>
      <c r="W113" s="479">
        <f>M113</f>
        <v>14000</v>
      </c>
      <c r="X113" s="479"/>
      <c r="Y113" s="479"/>
      <c r="Z113" s="479"/>
      <c r="AA113" s="489"/>
      <c r="AB113" s="600"/>
      <c r="AC113" s="576"/>
      <c r="AD113" s="576"/>
      <c r="AE113" s="576"/>
      <c r="AF113" s="576"/>
    </row>
    <row r="114" spans="1:34" s="447" customFormat="1" ht="21" customHeight="1">
      <c r="A114" s="462"/>
      <c r="B114" s="462"/>
      <c r="C114" s="462"/>
      <c r="D114" s="462">
        <v>25</v>
      </c>
      <c r="E114" s="463" t="s">
        <v>1037</v>
      </c>
      <c r="F114" s="463"/>
      <c r="G114" s="464"/>
      <c r="H114" s="465"/>
      <c r="I114" s="465"/>
      <c r="J114" s="465"/>
      <c r="K114" s="465"/>
      <c r="L114" s="465"/>
      <c r="M114" s="466"/>
      <c r="N114" s="466">
        <f>SUM(M115:M118)</f>
        <v>50400</v>
      </c>
      <c r="O114" s="466">
        <f>SUM(O115:O118)</f>
        <v>0</v>
      </c>
      <c r="P114" s="466">
        <f t="shared" ref="P114:Z114" si="33">SUM(P115:P118)</f>
        <v>0</v>
      </c>
      <c r="Q114" s="466">
        <f t="shared" si="33"/>
        <v>0</v>
      </c>
      <c r="R114" s="466">
        <f t="shared" si="33"/>
        <v>0</v>
      </c>
      <c r="S114" s="466">
        <f t="shared" si="33"/>
        <v>0</v>
      </c>
      <c r="T114" s="466">
        <f t="shared" si="33"/>
        <v>0</v>
      </c>
      <c r="U114" s="466">
        <f t="shared" si="33"/>
        <v>0</v>
      </c>
      <c r="V114" s="466">
        <f t="shared" si="33"/>
        <v>50400</v>
      </c>
      <c r="W114" s="466">
        <f t="shared" si="33"/>
        <v>0</v>
      </c>
      <c r="X114" s="466">
        <f t="shared" si="33"/>
        <v>0</v>
      </c>
      <c r="Y114" s="466">
        <f t="shared" si="33"/>
        <v>0</v>
      </c>
      <c r="Z114" s="466">
        <f t="shared" si="33"/>
        <v>0</v>
      </c>
      <c r="AA114" s="465" t="s">
        <v>1241</v>
      </c>
      <c r="AB114" s="467" t="s">
        <v>870</v>
      </c>
      <c r="AC114" s="469">
        <f>SUBTOTAL(9,O114:Q114)</f>
        <v>0</v>
      </c>
      <c r="AD114" s="469">
        <f>SUBTOTAL(9,R114:T114)</f>
        <v>0</v>
      </c>
      <c r="AE114" s="469">
        <f>SUBTOTAL(9,U114:W114)</f>
        <v>50400</v>
      </c>
      <c r="AF114" s="469">
        <f>SUBTOTAL(9,X114:Z114)</f>
        <v>0</v>
      </c>
      <c r="AG114" s="470">
        <f>AC114+AD114+AE114+AF114</f>
        <v>50400</v>
      </c>
      <c r="AH114" s="471">
        <f>N114-AG114</f>
        <v>0</v>
      </c>
    </row>
    <row r="115" spans="1:34" ht="20.6">
      <c r="A115" s="555"/>
      <c r="B115" s="555"/>
      <c r="C115" s="555"/>
      <c r="D115" s="474"/>
      <c r="E115" s="555"/>
      <c r="F115" s="475" t="s">
        <v>1038</v>
      </c>
      <c r="G115" s="475" t="s">
        <v>1039</v>
      </c>
      <c r="H115" s="477"/>
      <c r="I115" s="477"/>
      <c r="J115" s="477" t="s">
        <v>239</v>
      </c>
      <c r="K115" s="477"/>
      <c r="L115" s="478" t="s">
        <v>1040</v>
      </c>
      <c r="M115" s="479">
        <f>70*20</f>
        <v>1400</v>
      </c>
      <c r="N115" s="3406"/>
      <c r="O115" s="479"/>
      <c r="P115" s="479"/>
      <c r="Q115" s="479"/>
      <c r="R115" s="479"/>
      <c r="S115" s="479"/>
      <c r="T115" s="479"/>
      <c r="U115" s="479"/>
      <c r="V115" s="479">
        <v>1400</v>
      </c>
      <c r="W115" s="479"/>
      <c r="X115" s="479"/>
      <c r="Y115" s="479"/>
      <c r="Z115" s="479"/>
      <c r="AA115" s="480" t="s">
        <v>1021</v>
      </c>
      <c r="AB115" s="481" t="s">
        <v>724</v>
      </c>
      <c r="AC115" s="576"/>
      <c r="AD115" s="576"/>
      <c r="AE115" s="576"/>
      <c r="AF115" s="576"/>
    </row>
    <row r="116" spans="1:34" ht="27" customHeight="1">
      <c r="A116" s="527"/>
      <c r="B116" s="527"/>
      <c r="C116" s="527"/>
      <c r="D116" s="579"/>
      <c r="E116" s="489"/>
      <c r="F116" s="487"/>
      <c r="G116" s="487"/>
      <c r="H116" s="489"/>
      <c r="I116" s="489"/>
      <c r="J116" s="489"/>
      <c r="K116" s="489"/>
      <c r="L116" s="478" t="s">
        <v>1041</v>
      </c>
      <c r="M116" s="479">
        <f>20*2*25</f>
        <v>1000</v>
      </c>
      <c r="N116" s="3407"/>
      <c r="O116" s="479"/>
      <c r="P116" s="479"/>
      <c r="Q116" s="479"/>
      <c r="R116" s="479"/>
      <c r="S116" s="479"/>
      <c r="T116" s="479"/>
      <c r="U116" s="479"/>
      <c r="V116" s="479">
        <v>1000</v>
      </c>
      <c r="W116" s="479"/>
      <c r="X116" s="479"/>
      <c r="Y116" s="479"/>
      <c r="Z116" s="479"/>
      <c r="AA116" s="480"/>
      <c r="AB116" s="481"/>
      <c r="AC116" s="576"/>
      <c r="AD116" s="576"/>
      <c r="AE116" s="576"/>
      <c r="AF116" s="576"/>
    </row>
    <row r="117" spans="1:34" ht="20.6">
      <c r="A117" s="555"/>
      <c r="B117" s="555"/>
      <c r="C117" s="555"/>
      <c r="D117" s="474"/>
      <c r="E117" s="477"/>
      <c r="F117" s="3402" t="s">
        <v>1042</v>
      </c>
      <c r="G117" s="3408" t="s">
        <v>1043</v>
      </c>
      <c r="H117" s="605"/>
      <c r="I117" s="474"/>
      <c r="J117" s="474" t="s">
        <v>768</v>
      </c>
      <c r="K117" s="474"/>
      <c r="L117" s="478" t="s">
        <v>1044</v>
      </c>
      <c r="M117" s="518">
        <f>70*400</f>
        <v>28000</v>
      </c>
      <c r="N117" s="3406"/>
      <c r="O117" s="525"/>
      <c r="P117" s="525"/>
      <c r="Q117" s="525"/>
      <c r="R117" s="525"/>
      <c r="S117" s="525"/>
      <c r="T117" s="525"/>
      <c r="U117" s="525"/>
      <c r="V117" s="525">
        <v>28000</v>
      </c>
      <c r="W117" s="525"/>
      <c r="X117" s="525"/>
      <c r="Y117" s="525"/>
      <c r="Z117" s="525"/>
      <c r="AA117" s="526" t="s">
        <v>1021</v>
      </c>
      <c r="AB117" s="481" t="s">
        <v>724</v>
      </c>
      <c r="AC117" s="576"/>
      <c r="AD117" s="576"/>
      <c r="AE117" s="576"/>
      <c r="AF117" s="576"/>
    </row>
    <row r="118" spans="1:34" ht="56.05" customHeight="1">
      <c r="A118" s="527"/>
      <c r="B118" s="527"/>
      <c r="C118" s="527"/>
      <c r="D118" s="579"/>
      <c r="E118" s="489"/>
      <c r="F118" s="3403"/>
      <c r="G118" s="3409"/>
      <c r="H118" s="489"/>
      <c r="I118" s="486"/>
      <c r="J118" s="579"/>
      <c r="K118" s="486"/>
      <c r="L118" s="478" t="s">
        <v>1045</v>
      </c>
      <c r="M118" s="525">
        <f>25*2*400</f>
        <v>20000</v>
      </c>
      <c r="N118" s="3407"/>
      <c r="O118" s="518"/>
      <c r="P118" s="518"/>
      <c r="Q118" s="518"/>
      <c r="R118" s="518"/>
      <c r="S118" s="518"/>
      <c r="T118" s="518"/>
      <c r="U118" s="518"/>
      <c r="V118" s="518">
        <v>20000</v>
      </c>
      <c r="W118" s="518"/>
      <c r="X118" s="518"/>
      <c r="Y118" s="518"/>
      <c r="Z118" s="518"/>
      <c r="AA118" s="526"/>
      <c r="AB118" s="481"/>
      <c r="AC118" s="576"/>
      <c r="AD118" s="576"/>
      <c r="AE118" s="576"/>
      <c r="AF118" s="576"/>
    </row>
    <row r="119" spans="1:34" s="447" customFormat="1" ht="20.05" customHeight="1">
      <c r="A119" s="462">
        <v>2</v>
      </c>
      <c r="B119" s="462">
        <v>6</v>
      </c>
      <c r="C119" s="462">
        <v>14</v>
      </c>
      <c r="D119" s="462">
        <v>26</v>
      </c>
      <c r="E119" s="463" t="s">
        <v>1046</v>
      </c>
      <c r="F119" s="463"/>
      <c r="G119" s="464"/>
      <c r="H119" s="465"/>
      <c r="I119" s="465"/>
      <c r="J119" s="465"/>
      <c r="K119" s="465"/>
      <c r="L119" s="465"/>
      <c r="M119" s="466"/>
      <c r="N119" s="466">
        <f>SUM(M120:M125)</f>
        <v>18000</v>
      </c>
      <c r="O119" s="466"/>
      <c r="P119" s="466">
        <f t="shared" ref="P119" si="34">SUM(P122:P125)</f>
        <v>0</v>
      </c>
      <c r="Q119" s="467">
        <f>SUM(Q120:Q125)</f>
        <v>8400</v>
      </c>
      <c r="R119" s="467">
        <f t="shared" ref="R119:Z119" si="35">SUM(R120:R125)</f>
        <v>1200</v>
      </c>
      <c r="S119" s="467">
        <f t="shared" si="35"/>
        <v>0</v>
      </c>
      <c r="T119" s="467">
        <f t="shared" si="35"/>
        <v>0</v>
      </c>
      <c r="U119" s="467">
        <f t="shared" si="35"/>
        <v>0</v>
      </c>
      <c r="V119" s="467">
        <f t="shared" si="35"/>
        <v>0</v>
      </c>
      <c r="W119" s="467">
        <f t="shared" si="35"/>
        <v>1200</v>
      </c>
      <c r="X119" s="467">
        <f t="shared" si="35"/>
        <v>0</v>
      </c>
      <c r="Y119" s="467">
        <f t="shared" si="35"/>
        <v>0</v>
      </c>
      <c r="Z119" s="467">
        <f t="shared" si="35"/>
        <v>7200</v>
      </c>
      <c r="AA119" s="465" t="s">
        <v>1241</v>
      </c>
      <c r="AB119" s="467" t="s">
        <v>1048</v>
      </c>
      <c r="AC119" s="469">
        <f>SUBTOTAL(9,O119:Q119)</f>
        <v>8400</v>
      </c>
      <c r="AD119" s="469">
        <f>SUBTOTAL(9,R119:T119)</f>
        <v>1200</v>
      </c>
      <c r="AE119" s="469">
        <f>SUBTOTAL(9,U119:W119)</f>
        <v>1200</v>
      </c>
      <c r="AF119" s="469">
        <f>SUBTOTAL(9,X119:Z119)</f>
        <v>7200</v>
      </c>
      <c r="AG119" s="470">
        <f>AC119+AD119+AE119+AF119</f>
        <v>18000</v>
      </c>
      <c r="AH119" s="471">
        <f>N119-AG119</f>
        <v>0</v>
      </c>
    </row>
    <row r="120" spans="1:34" s="483" customFormat="1" ht="24" customHeight="1">
      <c r="A120" s="3411"/>
      <c r="B120" s="3411"/>
      <c r="C120" s="3411"/>
      <c r="D120" s="3411"/>
      <c r="E120" s="3416" t="s">
        <v>1049</v>
      </c>
      <c r="F120" s="606"/>
      <c r="G120" s="3416" t="s">
        <v>1050</v>
      </c>
      <c r="H120" s="607"/>
      <c r="I120" s="607" t="s">
        <v>768</v>
      </c>
      <c r="J120" s="607"/>
      <c r="K120" s="607"/>
      <c r="L120" s="608" t="s">
        <v>1051</v>
      </c>
      <c r="M120" s="609">
        <f>70*25*2</f>
        <v>3500</v>
      </c>
      <c r="N120" s="3410"/>
      <c r="O120" s="610"/>
      <c r="P120" s="610"/>
      <c r="Q120" s="610">
        <f>M120</f>
        <v>3500</v>
      </c>
      <c r="R120" s="610"/>
      <c r="S120" s="504"/>
      <c r="T120" s="504"/>
      <c r="U120" s="504"/>
      <c r="V120" s="504"/>
      <c r="W120" s="504"/>
      <c r="X120" s="504"/>
      <c r="Y120" s="504"/>
      <c r="Z120" s="504"/>
      <c r="AA120" s="611"/>
      <c r="AB120" s="612"/>
      <c r="AC120" s="495"/>
      <c r="AD120" s="495"/>
      <c r="AE120" s="495"/>
      <c r="AF120" s="495"/>
    </row>
    <row r="121" spans="1:34" s="483" customFormat="1" ht="36.549999999999997" customHeight="1">
      <c r="A121" s="3412"/>
      <c r="B121" s="3412"/>
      <c r="C121" s="3412"/>
      <c r="D121" s="3412"/>
      <c r="E121" s="3417"/>
      <c r="F121" s="613"/>
      <c r="G121" s="3417"/>
      <c r="H121" s="614"/>
      <c r="I121" s="614"/>
      <c r="J121" s="614"/>
      <c r="K121" s="614"/>
      <c r="L121" s="615" t="s">
        <v>1052</v>
      </c>
      <c r="M121" s="609">
        <f>70*70</f>
        <v>4900</v>
      </c>
      <c r="N121" s="3410"/>
      <c r="O121" s="610"/>
      <c r="P121" s="610"/>
      <c r="Q121" s="610">
        <f>M121</f>
        <v>4900</v>
      </c>
      <c r="R121" s="610"/>
      <c r="S121" s="504"/>
      <c r="T121" s="504"/>
      <c r="U121" s="504"/>
      <c r="V121" s="504"/>
      <c r="W121" s="504"/>
      <c r="X121" s="504"/>
      <c r="Y121" s="504"/>
      <c r="Z121" s="504"/>
      <c r="AA121" s="611"/>
      <c r="AB121" s="612"/>
      <c r="AC121" s="495"/>
      <c r="AD121" s="495"/>
      <c r="AE121" s="495"/>
      <c r="AF121" s="495"/>
    </row>
    <row r="122" spans="1:34" s="483" customFormat="1" ht="20.05" customHeight="1">
      <c r="A122" s="3411"/>
      <c r="B122" s="3411"/>
      <c r="C122" s="3411"/>
      <c r="D122" s="3411"/>
      <c r="E122" s="3413" t="s">
        <v>1053</v>
      </c>
      <c r="F122" s="3413" t="s">
        <v>1054</v>
      </c>
      <c r="G122" s="3413" t="s">
        <v>1055</v>
      </c>
      <c r="H122" s="616" t="s">
        <v>768</v>
      </c>
      <c r="I122" s="616"/>
      <c r="J122" s="616" t="s">
        <v>768</v>
      </c>
      <c r="K122" s="616" t="s">
        <v>768</v>
      </c>
      <c r="L122" s="608" t="s">
        <v>1056</v>
      </c>
      <c r="M122" s="609">
        <f>10*25*2*2</f>
        <v>1000</v>
      </c>
      <c r="N122" s="3410"/>
      <c r="O122" s="610"/>
      <c r="P122" s="610"/>
      <c r="Q122" s="610"/>
      <c r="R122" s="610">
        <f>M122/2</f>
        <v>500</v>
      </c>
      <c r="S122" s="610"/>
      <c r="T122" s="610"/>
      <c r="U122" s="610"/>
      <c r="V122" s="610">
        <f>P122</f>
        <v>0</v>
      </c>
      <c r="W122" s="610">
        <f>R122</f>
        <v>500</v>
      </c>
      <c r="X122" s="610"/>
      <c r="Y122" s="610">
        <f>+S122</f>
        <v>0</v>
      </c>
      <c r="Z122" s="610">
        <f>V122</f>
        <v>0</v>
      </c>
      <c r="AA122" s="617"/>
      <c r="AB122" s="612"/>
      <c r="AC122" s="495"/>
      <c r="AD122" s="495"/>
      <c r="AE122" s="495"/>
      <c r="AF122" s="495"/>
    </row>
    <row r="123" spans="1:34" s="483" customFormat="1" ht="29.5" customHeight="1">
      <c r="A123" s="3412"/>
      <c r="B123" s="3412"/>
      <c r="C123" s="3412"/>
      <c r="D123" s="3412"/>
      <c r="E123" s="3414"/>
      <c r="F123" s="3414"/>
      <c r="G123" s="3414"/>
      <c r="H123" s="618"/>
      <c r="I123" s="618"/>
      <c r="J123" s="618"/>
      <c r="K123" s="618"/>
      <c r="L123" s="608" t="s">
        <v>1057</v>
      </c>
      <c r="M123" s="609">
        <f>10*70*2</f>
        <v>1400</v>
      </c>
      <c r="N123" s="3410"/>
      <c r="O123" s="610"/>
      <c r="P123" s="610"/>
      <c r="Q123" s="610"/>
      <c r="R123" s="610">
        <f>M123/2</f>
        <v>700</v>
      </c>
      <c r="S123" s="610"/>
      <c r="T123" s="610"/>
      <c r="U123" s="610"/>
      <c r="V123" s="610">
        <f>P123</f>
        <v>0</v>
      </c>
      <c r="W123" s="610">
        <f>R123</f>
        <v>700</v>
      </c>
      <c r="X123" s="610"/>
      <c r="Y123" s="610"/>
      <c r="Z123" s="610">
        <f>P123</f>
        <v>0</v>
      </c>
      <c r="AA123" s="617"/>
      <c r="AB123" s="612"/>
      <c r="AC123" s="495"/>
      <c r="AD123" s="495"/>
      <c r="AE123" s="495"/>
      <c r="AF123" s="495"/>
    </row>
    <row r="124" spans="1:34" s="483" customFormat="1" ht="21.55" customHeight="1">
      <c r="A124" s="619"/>
      <c r="B124" s="619"/>
      <c r="C124" s="619"/>
      <c r="D124" s="619"/>
      <c r="E124" s="3414"/>
      <c r="F124" s="3414"/>
      <c r="G124" s="3414"/>
      <c r="H124" s="618"/>
      <c r="I124" s="618"/>
      <c r="J124" s="620"/>
      <c r="K124" s="618"/>
      <c r="L124" s="608" t="s">
        <v>1058</v>
      </c>
      <c r="M124" s="609">
        <f>60*25*2</f>
        <v>3000</v>
      </c>
      <c r="N124" s="3410"/>
      <c r="O124" s="610"/>
      <c r="P124" s="610"/>
      <c r="Q124" s="610"/>
      <c r="R124" s="610"/>
      <c r="S124" s="610"/>
      <c r="T124" s="610"/>
      <c r="U124" s="610"/>
      <c r="V124" s="610"/>
      <c r="W124" s="610"/>
      <c r="X124" s="610"/>
      <c r="Y124" s="610"/>
      <c r="Z124" s="610">
        <f>M124</f>
        <v>3000</v>
      </c>
      <c r="AA124" s="617"/>
      <c r="AB124" s="612"/>
      <c r="AC124" s="495"/>
      <c r="AD124" s="495"/>
      <c r="AE124" s="495"/>
      <c r="AF124" s="495"/>
    </row>
    <row r="125" spans="1:34" s="483" customFormat="1" ht="21.55" customHeight="1">
      <c r="A125" s="619"/>
      <c r="B125" s="619"/>
      <c r="C125" s="619"/>
      <c r="D125" s="619"/>
      <c r="E125" s="3415"/>
      <c r="F125" s="3415"/>
      <c r="G125" s="3415"/>
      <c r="H125" s="618"/>
      <c r="I125" s="618"/>
      <c r="J125" s="620"/>
      <c r="K125" s="618"/>
      <c r="L125" s="608" t="s">
        <v>1059</v>
      </c>
      <c r="M125" s="609">
        <f>60*70</f>
        <v>4200</v>
      </c>
      <c r="N125" s="3410"/>
      <c r="O125" s="610"/>
      <c r="P125" s="610"/>
      <c r="Q125" s="610"/>
      <c r="R125" s="610"/>
      <c r="S125" s="610"/>
      <c r="T125" s="610"/>
      <c r="U125" s="610"/>
      <c r="V125" s="610"/>
      <c r="W125" s="610"/>
      <c r="X125" s="610"/>
      <c r="Y125" s="610"/>
      <c r="Z125" s="610">
        <f>M125</f>
        <v>4200</v>
      </c>
      <c r="AA125" s="617"/>
      <c r="AB125" s="612"/>
      <c r="AC125" s="495"/>
      <c r="AD125" s="495"/>
      <c r="AE125" s="495"/>
      <c r="AF125" s="495"/>
    </row>
    <row r="126" spans="1:34" s="447" customFormat="1" ht="20.05" customHeight="1">
      <c r="A126" s="462">
        <v>2</v>
      </c>
      <c r="B126" s="462">
        <v>6</v>
      </c>
      <c r="C126" s="462">
        <v>14</v>
      </c>
      <c r="D126" s="462">
        <v>27</v>
      </c>
      <c r="E126" s="463" t="s">
        <v>1060</v>
      </c>
      <c r="F126" s="463"/>
      <c r="G126" s="464"/>
      <c r="H126" s="465"/>
      <c r="I126" s="465"/>
      <c r="J126" s="465"/>
      <c r="K126" s="465"/>
      <c r="L126" s="465"/>
      <c r="M126" s="466"/>
      <c r="N126" s="466">
        <f>SUM(M127:M130)</f>
        <v>61080</v>
      </c>
      <c r="O126" s="466">
        <f t="shared" ref="O126:Z126" si="36">SUM(O127:O130)</f>
        <v>0</v>
      </c>
      <c r="P126" s="466">
        <f>SUM(P127:P130)</f>
        <v>19080</v>
      </c>
      <c r="Q126" s="466">
        <f t="shared" ref="Q126:W126" si="37">SUM(Q127:Q130)</f>
        <v>0</v>
      </c>
      <c r="R126" s="466">
        <f t="shared" si="37"/>
        <v>0</v>
      </c>
      <c r="S126" s="466">
        <f t="shared" si="37"/>
        <v>0</v>
      </c>
      <c r="T126" s="466">
        <f t="shared" si="37"/>
        <v>42000</v>
      </c>
      <c r="U126" s="466">
        <f t="shared" si="37"/>
        <v>0</v>
      </c>
      <c r="V126" s="466">
        <f t="shared" si="37"/>
        <v>0</v>
      </c>
      <c r="W126" s="466">
        <f t="shared" si="37"/>
        <v>0</v>
      </c>
      <c r="X126" s="467">
        <f t="shared" si="36"/>
        <v>0</v>
      </c>
      <c r="Y126" s="467">
        <f t="shared" si="36"/>
        <v>0</v>
      </c>
      <c r="Z126" s="467">
        <f t="shared" si="36"/>
        <v>0</v>
      </c>
      <c r="AA126" s="465" t="s">
        <v>1241</v>
      </c>
      <c r="AB126" s="467" t="s">
        <v>1048</v>
      </c>
      <c r="AC126" s="469">
        <f>SUBTOTAL(9,O126:Q126)</f>
        <v>19080</v>
      </c>
      <c r="AD126" s="469">
        <f>SUBTOTAL(9,R126:T126)</f>
        <v>42000</v>
      </c>
      <c r="AE126" s="469">
        <f>SUBTOTAL(9,U126:W126)</f>
        <v>0</v>
      </c>
      <c r="AF126" s="469">
        <f>SUBTOTAL(9,X126:Z126)</f>
        <v>0</v>
      </c>
      <c r="AG126" s="470">
        <f>AC126+AD126+AE126+AF126</f>
        <v>61080</v>
      </c>
      <c r="AH126" s="471">
        <f>N126-AG126</f>
        <v>0</v>
      </c>
    </row>
    <row r="127" spans="1:34" s="621" customFormat="1" ht="40" customHeight="1">
      <c r="D127" s="3421"/>
      <c r="E127" s="3416" t="s">
        <v>1061</v>
      </c>
      <c r="F127" s="3416" t="s">
        <v>1062</v>
      </c>
      <c r="G127" s="3416" t="s">
        <v>1063</v>
      </c>
      <c r="H127" s="607" t="s">
        <v>239</v>
      </c>
      <c r="I127" s="607"/>
      <c r="J127" s="607"/>
      <c r="K127" s="607"/>
      <c r="L127" s="608" t="s">
        <v>1064</v>
      </c>
      <c r="M127" s="609">
        <f>159*25*2</f>
        <v>7950</v>
      </c>
      <c r="N127" s="3410"/>
      <c r="O127" s="622"/>
      <c r="P127" s="622">
        <f>M127</f>
        <v>7950</v>
      </c>
      <c r="Q127" s="622"/>
      <c r="R127" s="622"/>
      <c r="S127" s="622"/>
      <c r="T127" s="622"/>
      <c r="U127" s="622"/>
      <c r="V127" s="622"/>
      <c r="W127" s="622"/>
      <c r="X127" s="622"/>
      <c r="Y127" s="622"/>
      <c r="Z127" s="622"/>
      <c r="AA127" s="622"/>
      <c r="AB127" s="622"/>
      <c r="AC127" s="623"/>
      <c r="AD127" s="624"/>
      <c r="AE127" s="624"/>
      <c r="AF127" s="624"/>
    </row>
    <row r="128" spans="1:34" s="621" customFormat="1" ht="20.6">
      <c r="D128" s="3422"/>
      <c r="E128" s="3417"/>
      <c r="F128" s="3417"/>
      <c r="G128" s="3417"/>
      <c r="H128" s="614"/>
      <c r="I128" s="614"/>
      <c r="J128" s="614"/>
      <c r="K128" s="614"/>
      <c r="L128" s="608" t="s">
        <v>1065</v>
      </c>
      <c r="M128" s="609">
        <f>159*70</f>
        <v>11130</v>
      </c>
      <c r="N128" s="3410"/>
      <c r="O128" s="622"/>
      <c r="P128" s="622">
        <f>M128</f>
        <v>11130</v>
      </c>
      <c r="Q128" s="622"/>
      <c r="R128" s="622"/>
      <c r="S128" s="622"/>
      <c r="T128" s="622"/>
      <c r="U128" s="622"/>
      <c r="V128" s="622"/>
      <c r="W128" s="622"/>
      <c r="X128" s="622"/>
      <c r="Y128" s="622"/>
      <c r="Z128" s="622"/>
      <c r="AA128" s="622"/>
      <c r="AB128" s="622"/>
      <c r="AC128" s="623"/>
      <c r="AD128" s="624"/>
      <c r="AE128" s="624"/>
      <c r="AF128" s="624"/>
    </row>
    <row r="129" spans="1:34" s="483" customFormat="1" ht="42.55" customHeight="1">
      <c r="A129" s="3411"/>
      <c r="B129" s="3411"/>
      <c r="C129" s="3411"/>
      <c r="D129" s="3411"/>
      <c r="E129" s="3411" t="s">
        <v>1066</v>
      </c>
      <c r="F129" s="3411" t="s">
        <v>1067</v>
      </c>
      <c r="G129" s="3411" t="s">
        <v>1068</v>
      </c>
      <c r="H129" s="616"/>
      <c r="I129" s="616" t="s">
        <v>239</v>
      </c>
      <c r="J129" s="616"/>
      <c r="K129" s="616"/>
      <c r="L129" s="625" t="s">
        <v>1069</v>
      </c>
      <c r="M129" s="626">
        <f>350*25*2</f>
        <v>17500</v>
      </c>
      <c r="N129" s="3429"/>
      <c r="O129" s="587"/>
      <c r="P129" s="587"/>
      <c r="Q129" s="587"/>
      <c r="R129" s="587"/>
      <c r="S129" s="587"/>
      <c r="T129" s="587">
        <f>M129</f>
        <v>17500</v>
      </c>
      <c r="U129" s="587"/>
      <c r="V129" s="587"/>
      <c r="W129" s="587"/>
      <c r="X129" s="587"/>
      <c r="Y129" s="587"/>
      <c r="Z129" s="587"/>
      <c r="AA129" s="627"/>
      <c r="AB129" s="628"/>
      <c r="AC129" s="495"/>
      <c r="AD129" s="495"/>
      <c r="AE129" s="495"/>
      <c r="AF129" s="495"/>
    </row>
    <row r="130" spans="1:34" s="483" customFormat="1" ht="49" customHeight="1">
      <c r="A130" s="3412"/>
      <c r="B130" s="3412"/>
      <c r="C130" s="3412"/>
      <c r="D130" s="3412"/>
      <c r="E130" s="3412"/>
      <c r="F130" s="3412"/>
      <c r="G130" s="3412"/>
      <c r="H130" s="618"/>
      <c r="I130" s="618"/>
      <c r="J130" s="618"/>
      <c r="K130" s="618"/>
      <c r="L130" s="625" t="s">
        <v>1070</v>
      </c>
      <c r="M130" s="626">
        <f>350*70</f>
        <v>24500</v>
      </c>
      <c r="N130" s="3429"/>
      <c r="O130" s="587"/>
      <c r="P130" s="587"/>
      <c r="Q130" s="587"/>
      <c r="R130" s="587"/>
      <c r="S130" s="587"/>
      <c r="T130" s="587">
        <f>M130</f>
        <v>24500</v>
      </c>
      <c r="U130" s="587"/>
      <c r="V130" s="587"/>
      <c r="W130" s="587"/>
      <c r="X130" s="587"/>
      <c r="Y130" s="587"/>
      <c r="Z130" s="587"/>
      <c r="AA130" s="627"/>
      <c r="AB130" s="628"/>
      <c r="AC130" s="495"/>
      <c r="AD130" s="495"/>
      <c r="AE130" s="495"/>
      <c r="AF130" s="495"/>
    </row>
    <row r="131" spans="1:34" s="447" customFormat="1" ht="20.05" customHeight="1">
      <c r="A131" s="462">
        <v>2</v>
      </c>
      <c r="B131" s="462">
        <v>6</v>
      </c>
      <c r="C131" s="462">
        <v>14</v>
      </c>
      <c r="D131" s="462">
        <v>28</v>
      </c>
      <c r="E131" s="463" t="s">
        <v>1071</v>
      </c>
      <c r="F131" s="463"/>
      <c r="G131" s="464"/>
      <c r="H131" s="465"/>
      <c r="I131" s="465"/>
      <c r="J131" s="465"/>
      <c r="K131" s="465"/>
      <c r="L131" s="465"/>
      <c r="M131" s="466"/>
      <c r="N131" s="466">
        <f>SUM(M132:M133)</f>
        <v>3600</v>
      </c>
      <c r="O131" s="466">
        <f t="shared" ref="O131:Z131" si="38">SUM(O132:O133)</f>
        <v>0</v>
      </c>
      <c r="P131" s="466">
        <f t="shared" si="38"/>
        <v>0</v>
      </c>
      <c r="Q131" s="467">
        <f t="shared" si="38"/>
        <v>0</v>
      </c>
      <c r="R131" s="467">
        <f t="shared" si="38"/>
        <v>0</v>
      </c>
      <c r="S131" s="467">
        <f t="shared" si="38"/>
        <v>0</v>
      </c>
      <c r="T131" s="467">
        <f t="shared" si="38"/>
        <v>0</v>
      </c>
      <c r="U131" s="467">
        <f>SUM(U132:U133)</f>
        <v>2880</v>
      </c>
      <c r="V131" s="467">
        <f t="shared" si="38"/>
        <v>720</v>
      </c>
      <c r="W131" s="467">
        <f t="shared" si="38"/>
        <v>0</v>
      </c>
      <c r="X131" s="467">
        <f t="shared" si="38"/>
        <v>0</v>
      </c>
      <c r="Y131" s="467">
        <f t="shared" si="38"/>
        <v>0</v>
      </c>
      <c r="Z131" s="467">
        <f t="shared" si="38"/>
        <v>0</v>
      </c>
      <c r="AA131" s="465" t="s">
        <v>1241</v>
      </c>
      <c r="AB131" s="467" t="s">
        <v>1048</v>
      </c>
      <c r="AC131" s="469">
        <f>SUBTOTAL(9,O131:Q131)</f>
        <v>0</v>
      </c>
      <c r="AD131" s="469">
        <f>SUBTOTAL(9,R131:T131)</f>
        <v>0</v>
      </c>
      <c r="AE131" s="469">
        <f>SUBTOTAL(9,U131:W131)</f>
        <v>3600</v>
      </c>
      <c r="AF131" s="469">
        <f>SUBTOTAL(9,X131:Z131)</f>
        <v>0</v>
      </c>
      <c r="AG131" s="470">
        <f>AC131+AD131+AE131+AF131</f>
        <v>3600</v>
      </c>
      <c r="AH131" s="471">
        <f>N131-AG131</f>
        <v>0</v>
      </c>
    </row>
    <row r="132" spans="1:34" s="483" customFormat="1" ht="30" customHeight="1">
      <c r="A132" s="569"/>
      <c r="B132" s="569"/>
      <c r="C132" s="569"/>
      <c r="D132" s="584"/>
      <c r="E132" s="629" t="s">
        <v>1072</v>
      </c>
      <c r="F132" s="3411" t="s">
        <v>1073</v>
      </c>
      <c r="G132" s="3431" t="s">
        <v>1074</v>
      </c>
      <c r="H132" s="630"/>
      <c r="I132" s="630"/>
      <c r="J132" s="630" t="s">
        <v>768</v>
      </c>
      <c r="K132" s="630"/>
      <c r="L132" s="520" t="s">
        <v>1075</v>
      </c>
      <c r="M132" s="504">
        <f>8*120*3</f>
        <v>2880</v>
      </c>
      <c r="N132" s="587"/>
      <c r="O132" s="504"/>
      <c r="P132" s="504"/>
      <c r="Q132" s="504"/>
      <c r="R132" s="504"/>
      <c r="S132" s="504"/>
      <c r="T132" s="504"/>
      <c r="U132" s="504">
        <f>M132</f>
        <v>2880</v>
      </c>
      <c r="V132" s="504"/>
      <c r="W132" s="504"/>
      <c r="X132" s="504"/>
      <c r="Y132" s="504"/>
      <c r="Z132" s="504"/>
      <c r="AA132" s="631" t="s">
        <v>1047</v>
      </c>
      <c r="AB132" s="612"/>
      <c r="AC132" s="495"/>
      <c r="AD132" s="495"/>
      <c r="AE132" s="495"/>
      <c r="AF132" s="495"/>
    </row>
    <row r="133" spans="1:34" s="483" customFormat="1" ht="54.55" customHeight="1">
      <c r="A133" s="569"/>
      <c r="B133" s="569"/>
      <c r="C133" s="569"/>
      <c r="D133" s="584"/>
      <c r="E133" s="632" t="s">
        <v>1076</v>
      </c>
      <c r="F133" s="3430"/>
      <c r="G133" s="3431"/>
      <c r="H133" s="630"/>
      <c r="I133" s="630"/>
      <c r="J133" s="630"/>
      <c r="K133" s="630"/>
      <c r="L133" s="629" t="s">
        <v>1077</v>
      </c>
      <c r="M133" s="504">
        <f>6*120</f>
        <v>720</v>
      </c>
      <c r="N133" s="587"/>
      <c r="O133" s="504"/>
      <c r="P133" s="504"/>
      <c r="Q133" s="504"/>
      <c r="R133" s="504"/>
      <c r="S133" s="504"/>
      <c r="T133" s="504"/>
      <c r="U133" s="504"/>
      <c r="V133" s="504">
        <f>M133</f>
        <v>720</v>
      </c>
      <c r="W133" s="504"/>
      <c r="X133" s="504"/>
      <c r="Y133" s="504"/>
      <c r="Z133" s="504"/>
      <c r="AA133" s="611"/>
      <c r="AB133" s="612"/>
      <c r="AC133" s="495"/>
      <c r="AD133" s="495"/>
      <c r="AE133" s="495"/>
      <c r="AF133" s="495"/>
    </row>
    <row r="134" spans="1:34" s="447" customFormat="1" ht="20.05" customHeight="1">
      <c r="A134" s="462">
        <v>2</v>
      </c>
      <c r="B134" s="462">
        <v>6</v>
      </c>
      <c r="C134" s="462">
        <v>14</v>
      </c>
      <c r="D134" s="462">
        <v>29</v>
      </c>
      <c r="E134" s="463" t="s">
        <v>1078</v>
      </c>
      <c r="F134" s="463"/>
      <c r="G134" s="464"/>
      <c r="H134" s="465"/>
      <c r="I134" s="465"/>
      <c r="J134" s="465"/>
      <c r="K134" s="465"/>
      <c r="L134" s="465"/>
      <c r="M134" s="466"/>
      <c r="N134" s="466">
        <f>SUM(M135:M137)</f>
        <v>31000</v>
      </c>
      <c r="O134" s="466">
        <f>SUM(O135:O137)</f>
        <v>0</v>
      </c>
      <c r="P134" s="466">
        <f t="shared" ref="P134:Z134" si="39">SUM(P135:P137)</f>
        <v>0</v>
      </c>
      <c r="Q134" s="466">
        <f t="shared" si="39"/>
        <v>0</v>
      </c>
      <c r="R134" s="466">
        <f t="shared" si="39"/>
        <v>0</v>
      </c>
      <c r="S134" s="466">
        <f t="shared" si="39"/>
        <v>31000</v>
      </c>
      <c r="T134" s="466">
        <f t="shared" si="39"/>
        <v>0</v>
      </c>
      <c r="U134" s="466">
        <f t="shared" si="39"/>
        <v>0</v>
      </c>
      <c r="V134" s="466">
        <f t="shared" si="39"/>
        <v>0</v>
      </c>
      <c r="W134" s="466">
        <f t="shared" si="39"/>
        <v>0</v>
      </c>
      <c r="X134" s="466">
        <f t="shared" si="39"/>
        <v>0</v>
      </c>
      <c r="Y134" s="466">
        <f t="shared" si="39"/>
        <v>0</v>
      </c>
      <c r="Z134" s="466">
        <f t="shared" si="39"/>
        <v>0</v>
      </c>
      <c r="AA134" s="465" t="s">
        <v>1241</v>
      </c>
      <c r="AB134" s="467" t="s">
        <v>1048</v>
      </c>
      <c r="AC134" s="469">
        <f>SUBTOTAL(9,O134:Q134)</f>
        <v>0</v>
      </c>
      <c r="AD134" s="469">
        <f>SUBTOTAL(9,R134:T134)</f>
        <v>31000</v>
      </c>
      <c r="AE134" s="469">
        <f>SUBTOTAL(9,U134:W134)</f>
        <v>0</v>
      </c>
      <c r="AF134" s="469">
        <f>SUBTOTAL(9,X134:Z134)</f>
        <v>0</v>
      </c>
      <c r="AG134" s="470">
        <f>AC134+AD134+AE134+AF134</f>
        <v>31000</v>
      </c>
      <c r="AH134" s="471">
        <f>N134-AG134</f>
        <v>0</v>
      </c>
    </row>
    <row r="135" spans="1:34" s="483" customFormat="1" ht="39.549999999999997" customHeight="1">
      <c r="A135" s="3418"/>
      <c r="B135" s="3418"/>
      <c r="C135" s="3418"/>
      <c r="D135" s="3418"/>
      <c r="E135" s="3393" t="s">
        <v>1079</v>
      </c>
      <c r="F135" s="3393" t="s">
        <v>1080</v>
      </c>
      <c r="G135" s="3393" t="s">
        <v>1081</v>
      </c>
      <c r="H135" s="3423"/>
      <c r="I135" s="3423" t="s">
        <v>239</v>
      </c>
      <c r="J135" s="3423"/>
      <c r="K135" s="3426"/>
      <c r="L135" s="629" t="s">
        <v>1082</v>
      </c>
      <c r="M135" s="504">
        <f>50*10*25</f>
        <v>12500</v>
      </c>
      <c r="N135" s="587"/>
      <c r="O135" s="504"/>
      <c r="P135" s="504"/>
      <c r="Q135" s="504"/>
      <c r="R135" s="504"/>
      <c r="S135" s="504">
        <f t="shared" ref="S135:S137" si="40">M135</f>
        <v>12500</v>
      </c>
      <c r="T135" s="504"/>
      <c r="U135" s="504"/>
      <c r="V135" s="504"/>
      <c r="W135" s="504"/>
      <c r="X135" s="504"/>
      <c r="Y135" s="504"/>
      <c r="Z135" s="504"/>
      <c r="AA135" s="611"/>
      <c r="AB135" s="612"/>
      <c r="AC135" s="495"/>
      <c r="AD135" s="495"/>
      <c r="AE135" s="495"/>
      <c r="AF135" s="495"/>
    </row>
    <row r="136" spans="1:34" s="447" customFormat="1" ht="30" customHeight="1">
      <c r="A136" s="3419"/>
      <c r="B136" s="3419"/>
      <c r="C136" s="3419"/>
      <c r="D136" s="3419"/>
      <c r="E136" s="3387"/>
      <c r="F136" s="3387"/>
      <c r="G136" s="3387"/>
      <c r="H136" s="3424"/>
      <c r="I136" s="3424"/>
      <c r="J136" s="3424"/>
      <c r="K136" s="3427"/>
      <c r="L136" s="629" t="s">
        <v>1083</v>
      </c>
      <c r="M136" s="504">
        <f>50*5*70</f>
        <v>17500</v>
      </c>
      <c r="N136" s="633"/>
      <c r="O136" s="504"/>
      <c r="P136" s="504"/>
      <c r="Q136" s="504"/>
      <c r="R136" s="633"/>
      <c r="S136" s="633">
        <f t="shared" si="40"/>
        <v>17500</v>
      </c>
      <c r="T136" s="633"/>
      <c r="U136" s="633"/>
      <c r="V136" s="633"/>
      <c r="W136" s="504"/>
      <c r="X136" s="504"/>
      <c r="Y136" s="504"/>
      <c r="Z136" s="504"/>
      <c r="AA136" s="634"/>
      <c r="AB136" s="634"/>
      <c r="AC136" s="469"/>
      <c r="AD136" s="469"/>
      <c r="AE136" s="469"/>
      <c r="AF136" s="469"/>
    </row>
    <row r="137" spans="1:34" s="447" customFormat="1" ht="32.5" customHeight="1">
      <c r="A137" s="3420"/>
      <c r="B137" s="3420"/>
      <c r="C137" s="3420"/>
      <c r="D137" s="3420"/>
      <c r="E137" s="3388"/>
      <c r="F137" s="3388"/>
      <c r="G137" s="3388"/>
      <c r="H137" s="3425"/>
      <c r="I137" s="3425"/>
      <c r="J137" s="3425"/>
      <c r="K137" s="3428"/>
      <c r="L137" s="635" t="s">
        <v>1084</v>
      </c>
      <c r="M137" s="504">
        <f>20*50</f>
        <v>1000</v>
      </c>
      <c r="N137" s="633"/>
      <c r="O137" s="504"/>
      <c r="P137" s="504"/>
      <c r="Q137" s="504"/>
      <c r="R137" s="633"/>
      <c r="S137" s="633">
        <f t="shared" si="40"/>
        <v>1000</v>
      </c>
      <c r="T137" s="633"/>
      <c r="U137" s="633"/>
      <c r="V137" s="633"/>
      <c r="W137" s="504"/>
      <c r="X137" s="504"/>
      <c r="Y137" s="504"/>
      <c r="Z137" s="504"/>
      <c r="AA137" s="634"/>
      <c r="AB137" s="634"/>
      <c r="AC137" s="469"/>
      <c r="AD137" s="469"/>
      <c r="AE137" s="469"/>
      <c r="AF137" s="469"/>
    </row>
    <row r="138" spans="1:34" s="447" customFormat="1" ht="20.05" customHeight="1">
      <c r="A138" s="462">
        <v>2</v>
      </c>
      <c r="B138" s="462">
        <v>6</v>
      </c>
      <c r="C138" s="462">
        <v>14</v>
      </c>
      <c r="D138" s="462">
        <v>30</v>
      </c>
      <c r="E138" s="463" t="s">
        <v>1085</v>
      </c>
      <c r="F138" s="463"/>
      <c r="G138" s="464"/>
      <c r="H138" s="465"/>
      <c r="I138" s="465"/>
      <c r="J138" s="465"/>
      <c r="K138" s="465"/>
      <c r="L138" s="465"/>
      <c r="M138" s="466"/>
      <c r="N138" s="466">
        <f>M139</f>
        <v>3688400</v>
      </c>
      <c r="O138" s="466">
        <f>SUM(O139)</f>
        <v>0</v>
      </c>
      <c r="P138" s="466">
        <f t="shared" ref="P138:Z138" si="41">SUM(P139)</f>
        <v>0</v>
      </c>
      <c r="Q138" s="466">
        <f t="shared" si="41"/>
        <v>0</v>
      </c>
      <c r="R138" s="466">
        <f t="shared" si="41"/>
        <v>2188400</v>
      </c>
      <c r="S138" s="466">
        <f t="shared" si="41"/>
        <v>0</v>
      </c>
      <c r="T138" s="466">
        <f t="shared" si="41"/>
        <v>0</v>
      </c>
      <c r="U138" s="466">
        <f t="shared" si="41"/>
        <v>0</v>
      </c>
      <c r="V138" s="466">
        <f t="shared" si="41"/>
        <v>1000000</v>
      </c>
      <c r="W138" s="466">
        <f t="shared" si="41"/>
        <v>0</v>
      </c>
      <c r="X138" s="466">
        <f t="shared" si="41"/>
        <v>500000</v>
      </c>
      <c r="Y138" s="466">
        <f t="shared" si="41"/>
        <v>0</v>
      </c>
      <c r="Z138" s="466">
        <f t="shared" si="41"/>
        <v>0</v>
      </c>
      <c r="AA138" s="465" t="s">
        <v>1241</v>
      </c>
      <c r="AB138" s="467" t="s">
        <v>1048</v>
      </c>
      <c r="AC138" s="469">
        <f>SUBTOTAL(9,O138:Q138)</f>
        <v>0</v>
      </c>
      <c r="AD138" s="469">
        <f>SUBTOTAL(9,R138:T138)</f>
        <v>2188400</v>
      </c>
      <c r="AE138" s="469">
        <f>SUBTOTAL(9,U138:W138)</f>
        <v>1000000</v>
      </c>
      <c r="AF138" s="469">
        <f>SUBTOTAL(9,X138:Z138)</f>
        <v>500000</v>
      </c>
      <c r="AG138" s="470">
        <f>AC138+AD138+AE138+AF138</f>
        <v>3688400</v>
      </c>
      <c r="AH138" s="471">
        <f>N138-AG138</f>
        <v>0</v>
      </c>
    </row>
    <row r="139" spans="1:34" s="483" customFormat="1" ht="102.9">
      <c r="A139" s="569"/>
      <c r="B139" s="569"/>
      <c r="C139" s="569"/>
      <c r="D139" s="636"/>
      <c r="E139" s="637"/>
      <c r="F139" s="638" t="s">
        <v>1086</v>
      </c>
      <c r="G139" s="638" t="s">
        <v>1087</v>
      </c>
      <c r="H139" s="639"/>
      <c r="I139" s="639" t="s">
        <v>239</v>
      </c>
      <c r="J139" s="639" t="s">
        <v>239</v>
      </c>
      <c r="K139" s="639" t="s">
        <v>239</v>
      </c>
      <c r="L139" s="638" t="s">
        <v>1088</v>
      </c>
      <c r="M139" s="640">
        <v>3688400</v>
      </c>
      <c r="N139" s="640"/>
      <c r="O139" s="641"/>
      <c r="P139" s="641"/>
      <c r="Q139" s="642"/>
      <c r="R139" s="483">
        <v>2188400</v>
      </c>
      <c r="S139" s="642"/>
      <c r="T139" s="642"/>
      <c r="U139" s="642"/>
      <c r="V139" s="642">
        <v>1000000</v>
      </c>
      <c r="W139" s="641"/>
      <c r="X139" s="641">
        <v>500000</v>
      </c>
      <c r="Y139" s="641"/>
      <c r="Z139" s="641"/>
      <c r="AA139" s="617"/>
      <c r="AB139" s="634"/>
      <c r="AC139" s="495"/>
      <c r="AD139" s="495"/>
      <c r="AE139" s="495"/>
      <c r="AF139" s="495"/>
    </row>
    <row r="140" spans="1:34" s="447" customFormat="1" ht="20.05" customHeight="1">
      <c r="A140" s="462">
        <v>2</v>
      </c>
      <c r="B140" s="462">
        <v>6</v>
      </c>
      <c r="C140" s="462">
        <v>14</v>
      </c>
      <c r="D140" s="462">
        <v>31</v>
      </c>
      <c r="E140" s="463" t="s">
        <v>1089</v>
      </c>
      <c r="F140" s="463"/>
      <c r="G140" s="464"/>
      <c r="H140" s="465"/>
      <c r="I140" s="465"/>
      <c r="J140" s="465"/>
      <c r="K140" s="465"/>
      <c r="L140" s="465"/>
      <c r="M140" s="466"/>
      <c r="N140" s="466">
        <f>M141</f>
        <v>469000</v>
      </c>
      <c r="O140" s="466">
        <f>SUM(O141)</f>
        <v>0</v>
      </c>
      <c r="P140" s="466">
        <f t="shared" ref="P140:Z140" si="42">SUM(P141)</f>
        <v>0</v>
      </c>
      <c r="Q140" s="466">
        <f t="shared" si="42"/>
        <v>0</v>
      </c>
      <c r="R140" s="466">
        <f t="shared" si="42"/>
        <v>169000</v>
      </c>
      <c r="S140" s="466">
        <f t="shared" si="42"/>
        <v>0</v>
      </c>
      <c r="T140" s="466">
        <f t="shared" si="42"/>
        <v>0</v>
      </c>
      <c r="U140" s="466">
        <f t="shared" si="42"/>
        <v>0</v>
      </c>
      <c r="V140" s="466">
        <f t="shared" si="42"/>
        <v>150000</v>
      </c>
      <c r="W140" s="466">
        <f t="shared" si="42"/>
        <v>0</v>
      </c>
      <c r="X140" s="466">
        <f t="shared" si="42"/>
        <v>150000</v>
      </c>
      <c r="Y140" s="466">
        <f t="shared" si="42"/>
        <v>0</v>
      </c>
      <c r="Z140" s="466">
        <f t="shared" si="42"/>
        <v>0</v>
      </c>
      <c r="AA140" s="465" t="s">
        <v>1241</v>
      </c>
      <c r="AB140" s="467" t="s">
        <v>1048</v>
      </c>
      <c r="AC140" s="469">
        <f>SUBTOTAL(9,O140:Q140)</f>
        <v>0</v>
      </c>
      <c r="AD140" s="469">
        <f>SUBTOTAL(9,R140:T140)</f>
        <v>169000</v>
      </c>
      <c r="AE140" s="469">
        <f>SUBTOTAL(9,U140:W140)</f>
        <v>150000</v>
      </c>
      <c r="AF140" s="469">
        <f>SUBTOTAL(9,X140:Z140)</f>
        <v>150000</v>
      </c>
      <c r="AG140" s="470">
        <f>AC140+AD140+AE140+AF140</f>
        <v>469000</v>
      </c>
      <c r="AH140" s="471">
        <f>N140-AG140</f>
        <v>0</v>
      </c>
    </row>
    <row r="141" spans="1:34" s="483" customFormat="1" ht="41.15">
      <c r="A141" s="569"/>
      <c r="B141" s="569"/>
      <c r="C141" s="569"/>
      <c r="D141" s="584"/>
      <c r="E141" s="643"/>
      <c r="F141" s="638" t="s">
        <v>1090</v>
      </c>
      <c r="G141" s="638" t="s">
        <v>1091</v>
      </c>
      <c r="H141" s="644"/>
      <c r="I141" s="644"/>
      <c r="J141" s="644" t="s">
        <v>239</v>
      </c>
      <c r="K141" s="644"/>
      <c r="L141" s="643" t="s">
        <v>1092</v>
      </c>
      <c r="M141" s="609">
        <v>469000</v>
      </c>
      <c r="N141" s="609"/>
      <c r="O141" s="641"/>
      <c r="P141" s="641"/>
      <c r="Q141" s="645"/>
      <c r="R141" s="646">
        <v>169000</v>
      </c>
      <c r="S141" s="641"/>
      <c r="T141" s="641"/>
      <c r="U141" s="647"/>
      <c r="V141" s="641">
        <v>150000</v>
      </c>
      <c r="W141" s="642"/>
      <c r="X141" s="641">
        <f>V141</f>
        <v>150000</v>
      </c>
      <c r="Y141" s="641"/>
      <c r="Z141" s="641"/>
      <c r="AA141" s="648"/>
      <c r="AB141" s="634"/>
      <c r="AC141" s="495"/>
      <c r="AD141" s="495"/>
      <c r="AE141" s="495"/>
      <c r="AF141" s="495"/>
    </row>
    <row r="142" spans="1:34" s="447" customFormat="1" ht="20.05" customHeight="1">
      <c r="A142" s="462"/>
      <c r="B142" s="462"/>
      <c r="C142" s="462"/>
      <c r="D142" s="462">
        <v>32</v>
      </c>
      <c r="E142" s="463" t="s">
        <v>1093</v>
      </c>
      <c r="F142" s="463"/>
      <c r="G142" s="464"/>
      <c r="H142" s="465" t="s">
        <v>978</v>
      </c>
      <c r="I142" s="465"/>
      <c r="J142" s="465"/>
      <c r="K142" s="465"/>
      <c r="L142" s="465"/>
      <c r="M142" s="466"/>
      <c r="N142" s="466">
        <f>SUM(O142:Z142)</f>
        <v>129200</v>
      </c>
      <c r="O142" s="466">
        <f>SUM(O143)</f>
        <v>0</v>
      </c>
      <c r="P142" s="466">
        <f t="shared" ref="P142:Z142" si="43">SUM(P143)</f>
        <v>0</v>
      </c>
      <c r="Q142" s="466">
        <f t="shared" si="43"/>
        <v>0</v>
      </c>
      <c r="R142" s="466">
        <f t="shared" si="43"/>
        <v>129200</v>
      </c>
      <c r="S142" s="466">
        <f t="shared" si="43"/>
        <v>0</v>
      </c>
      <c r="T142" s="466">
        <f t="shared" si="43"/>
        <v>0</v>
      </c>
      <c r="U142" s="466">
        <f t="shared" si="43"/>
        <v>0</v>
      </c>
      <c r="V142" s="466">
        <f t="shared" si="43"/>
        <v>0</v>
      </c>
      <c r="W142" s="466">
        <f t="shared" si="43"/>
        <v>0</v>
      </c>
      <c r="X142" s="466">
        <f t="shared" si="43"/>
        <v>0</v>
      </c>
      <c r="Y142" s="466">
        <f t="shared" si="43"/>
        <v>0</v>
      </c>
      <c r="Z142" s="466">
        <f t="shared" si="43"/>
        <v>0</v>
      </c>
      <c r="AA142" s="465" t="s">
        <v>1241</v>
      </c>
      <c r="AB142" s="467" t="s">
        <v>1048</v>
      </c>
      <c r="AC142" s="469">
        <f>SUBTOTAL(9,O142:Q142)</f>
        <v>0</v>
      </c>
      <c r="AD142" s="469">
        <f>SUBTOTAL(9,R142:T142)</f>
        <v>129200</v>
      </c>
      <c r="AE142" s="469">
        <f>SUBTOTAL(9,U142:W142)</f>
        <v>0</v>
      </c>
      <c r="AF142" s="469">
        <f>SUBTOTAL(9,X142:Z142)</f>
        <v>0</v>
      </c>
      <c r="AG142" s="470">
        <f>AC142+AD142+AE142+AF142</f>
        <v>129200</v>
      </c>
      <c r="AH142" s="471">
        <f>N142-AG142</f>
        <v>0</v>
      </c>
    </row>
    <row r="143" spans="1:34" s="621" customFormat="1" ht="51.45">
      <c r="D143" s="636"/>
      <c r="E143" s="649" t="s">
        <v>1094</v>
      </c>
      <c r="F143" s="650" t="s">
        <v>1095</v>
      </c>
      <c r="G143" s="638" t="s">
        <v>1096</v>
      </c>
      <c r="H143" s="651"/>
      <c r="I143" s="651" t="s">
        <v>768</v>
      </c>
      <c r="J143" s="651"/>
      <c r="K143" s="651"/>
      <c r="L143" s="643" t="s">
        <v>1097</v>
      </c>
      <c r="M143" s="652">
        <f>323*400</f>
        <v>129200</v>
      </c>
      <c r="N143" s="652"/>
      <c r="O143" s="653"/>
      <c r="P143" s="653"/>
      <c r="Q143" s="654"/>
      <c r="R143" s="655">
        <f>M143</f>
        <v>129200</v>
      </c>
      <c r="S143" s="653"/>
      <c r="T143" s="653"/>
      <c r="U143" s="656"/>
      <c r="V143" s="653"/>
      <c r="W143" s="657"/>
      <c r="X143" s="653"/>
      <c r="Y143" s="653"/>
      <c r="Z143" s="653"/>
      <c r="AA143" s="617"/>
      <c r="AB143" s="617"/>
      <c r="AC143" s="623"/>
      <c r="AD143" s="624"/>
      <c r="AE143" s="624"/>
      <c r="AF143" s="624"/>
    </row>
    <row r="144" spans="1:34" s="447" customFormat="1" ht="20.05" customHeight="1">
      <c r="A144" s="462">
        <v>2</v>
      </c>
      <c r="B144" s="462">
        <v>6</v>
      </c>
      <c r="C144" s="462">
        <v>10</v>
      </c>
      <c r="D144" s="462">
        <v>33</v>
      </c>
      <c r="E144" s="463" t="s">
        <v>1098</v>
      </c>
      <c r="F144" s="463"/>
      <c r="G144" s="464"/>
      <c r="H144" s="465"/>
      <c r="I144" s="465"/>
      <c r="J144" s="465"/>
      <c r="K144" s="465"/>
      <c r="L144" s="465"/>
      <c r="M144" s="466"/>
      <c r="N144" s="466">
        <f>SUM(M145:M161)</f>
        <v>436755</v>
      </c>
      <c r="O144" s="466">
        <f>SUM(O145:O161)</f>
        <v>0</v>
      </c>
      <c r="P144" s="466">
        <f>SUM(P145:P161)</f>
        <v>0</v>
      </c>
      <c r="Q144" s="467">
        <f>SUM(Q145:Q161)</f>
        <v>0</v>
      </c>
      <c r="R144" s="467">
        <f>SUM(R145:R161)</f>
        <v>4275</v>
      </c>
      <c r="S144" s="467">
        <f t="shared" ref="S144:U144" si="44">SUM(S145:S161)</f>
        <v>36120</v>
      </c>
      <c r="T144" s="467">
        <f t="shared" si="44"/>
        <v>396360</v>
      </c>
      <c r="U144" s="467">
        <f t="shared" si="44"/>
        <v>0</v>
      </c>
      <c r="V144" s="467">
        <f>SUM(V145:V161)</f>
        <v>0</v>
      </c>
      <c r="W144" s="467">
        <f>SUM(W145:W161)</f>
        <v>0</v>
      </c>
      <c r="X144" s="467">
        <f>SUM(X145:X161)</f>
        <v>0</v>
      </c>
      <c r="Y144" s="467">
        <f>SUM(Y145:Y161)</f>
        <v>0</v>
      </c>
      <c r="Z144" s="467">
        <f>SUM(Z145:Z161)</f>
        <v>0</v>
      </c>
      <c r="AA144" s="465" t="s">
        <v>1241</v>
      </c>
      <c r="AB144" s="467" t="s">
        <v>1048</v>
      </c>
      <c r="AC144" s="469">
        <f>SUBTOTAL(9,O144:Q144)</f>
        <v>0</v>
      </c>
      <c r="AD144" s="469">
        <f>SUBTOTAL(9,R144:T144)</f>
        <v>436755</v>
      </c>
      <c r="AE144" s="469">
        <f>SUBTOTAL(9,U144:W144)</f>
        <v>0</v>
      </c>
      <c r="AF144" s="469">
        <f>SUBTOTAL(9,X144:Z144)</f>
        <v>0</v>
      </c>
      <c r="AG144" s="470">
        <f>AC144+AD144+AE144+AF144</f>
        <v>436755</v>
      </c>
      <c r="AH144" s="471">
        <f>N144-AG144</f>
        <v>0</v>
      </c>
    </row>
    <row r="145" spans="1:32" ht="43.5" customHeight="1">
      <c r="A145" s="658"/>
      <c r="B145" s="658"/>
      <c r="C145" s="658"/>
      <c r="D145" s="658"/>
      <c r="E145" s="658" t="s">
        <v>1099</v>
      </c>
      <c r="F145" s="658" t="s">
        <v>1100</v>
      </c>
      <c r="G145" s="658" t="s">
        <v>1101</v>
      </c>
      <c r="H145" s="605"/>
      <c r="I145" s="477" t="s">
        <v>768</v>
      </c>
      <c r="J145" s="474"/>
      <c r="K145" s="474"/>
      <c r="L145" s="659" t="s">
        <v>1102</v>
      </c>
      <c r="M145" s="525">
        <f>45*25</f>
        <v>1125</v>
      </c>
      <c r="N145" s="3432"/>
      <c r="O145" s="518"/>
      <c r="P145" s="518"/>
      <c r="Q145" s="518"/>
      <c r="R145" s="518">
        <f>M145</f>
        <v>1125</v>
      </c>
      <c r="S145" s="518"/>
      <c r="T145" s="518"/>
      <c r="U145" s="518"/>
      <c r="V145" s="518"/>
      <c r="W145" s="518"/>
      <c r="X145" s="518"/>
      <c r="Y145" s="518"/>
      <c r="Z145" s="518"/>
      <c r="AA145" s="526"/>
      <c r="AB145" s="481"/>
      <c r="AC145" s="576"/>
      <c r="AD145" s="576"/>
      <c r="AE145" s="576"/>
      <c r="AF145" s="576"/>
    </row>
    <row r="146" spans="1:32" ht="20.6">
      <c r="A146" s="660"/>
      <c r="B146" s="660"/>
      <c r="C146" s="660"/>
      <c r="D146" s="660"/>
      <c r="E146" s="660"/>
      <c r="F146" s="660"/>
      <c r="G146" s="660"/>
      <c r="H146" s="579"/>
      <c r="I146" s="489"/>
      <c r="J146" s="486"/>
      <c r="K146" s="486"/>
      <c r="L146" s="629" t="s">
        <v>1103</v>
      </c>
      <c r="M146" s="525">
        <f>45*1*70</f>
        <v>3150</v>
      </c>
      <c r="N146" s="3434"/>
      <c r="O146" s="518"/>
      <c r="P146" s="518"/>
      <c r="Q146" s="518"/>
      <c r="R146" s="518">
        <f>M146</f>
        <v>3150</v>
      </c>
      <c r="S146" s="518"/>
      <c r="T146" s="518"/>
      <c r="U146" s="518"/>
      <c r="V146" s="518"/>
      <c r="W146" s="518"/>
      <c r="X146" s="518"/>
      <c r="Y146" s="518"/>
      <c r="Z146" s="518"/>
      <c r="AA146" s="526"/>
      <c r="AB146" s="481"/>
      <c r="AC146" s="576"/>
      <c r="AD146" s="576"/>
      <c r="AE146" s="576"/>
      <c r="AF146" s="576"/>
    </row>
    <row r="147" spans="1:32" ht="51.45">
      <c r="A147" s="547"/>
      <c r="B147" s="547"/>
      <c r="C147" s="547"/>
      <c r="D147" s="547"/>
      <c r="E147" s="547" t="s">
        <v>1104</v>
      </c>
      <c r="F147" s="661" t="s">
        <v>1105</v>
      </c>
      <c r="G147" s="547" t="s">
        <v>1106</v>
      </c>
      <c r="H147" s="473"/>
      <c r="I147" s="490" t="s">
        <v>768</v>
      </c>
      <c r="J147" s="490"/>
      <c r="K147" s="490"/>
      <c r="L147" s="635" t="s">
        <v>1107</v>
      </c>
      <c r="M147" s="504">
        <f>6*15*25*2</f>
        <v>4500</v>
      </c>
      <c r="N147" s="3437"/>
      <c r="O147" s="504"/>
      <c r="P147" s="504"/>
      <c r="Q147" s="504"/>
      <c r="R147" s="504"/>
      <c r="S147" s="504">
        <f t="shared" ref="S147:S151" si="45">M147</f>
        <v>4500</v>
      </c>
      <c r="T147" s="504"/>
      <c r="U147" s="504"/>
      <c r="V147" s="504"/>
      <c r="W147" s="504"/>
      <c r="X147" s="504"/>
      <c r="Y147" s="504"/>
      <c r="Z147" s="504"/>
      <c r="AA147" s="569"/>
      <c r="AB147" s="505"/>
      <c r="AC147" s="576"/>
      <c r="AD147" s="576"/>
      <c r="AE147" s="576"/>
      <c r="AF147" s="576"/>
    </row>
    <row r="148" spans="1:32" ht="30.9">
      <c r="A148" s="662"/>
      <c r="B148" s="662"/>
      <c r="C148" s="662"/>
      <c r="D148" s="662"/>
      <c r="E148" s="662"/>
      <c r="F148" s="663"/>
      <c r="G148" s="662"/>
      <c r="H148" s="502"/>
      <c r="I148" s="503"/>
      <c r="J148" s="503"/>
      <c r="K148" s="503"/>
      <c r="L148" s="635" t="s">
        <v>1108</v>
      </c>
      <c r="M148" s="504">
        <f>6*15*70</f>
        <v>6300</v>
      </c>
      <c r="N148" s="3438"/>
      <c r="O148" s="504"/>
      <c r="P148" s="504"/>
      <c r="Q148" s="504"/>
      <c r="R148" s="504"/>
      <c r="S148" s="504">
        <f t="shared" si="45"/>
        <v>6300</v>
      </c>
      <c r="T148" s="504"/>
      <c r="U148" s="504"/>
      <c r="V148" s="504"/>
      <c r="W148" s="504"/>
      <c r="X148" s="504"/>
      <c r="Y148" s="504"/>
      <c r="Z148" s="504"/>
      <c r="AA148" s="569"/>
      <c r="AB148" s="505"/>
      <c r="AC148" s="576"/>
      <c r="AD148" s="576"/>
      <c r="AE148" s="576"/>
      <c r="AF148" s="576"/>
    </row>
    <row r="149" spans="1:32" ht="20.6">
      <c r="A149" s="485"/>
      <c r="B149" s="485"/>
      <c r="C149" s="485"/>
      <c r="D149" s="485"/>
      <c r="E149" s="485"/>
      <c r="F149" s="485"/>
      <c r="G149" s="485"/>
      <c r="H149" s="485"/>
      <c r="I149" s="493"/>
      <c r="J149" s="485"/>
      <c r="K149" s="493"/>
      <c r="L149" s="635" t="s">
        <v>1109</v>
      </c>
      <c r="M149" s="504">
        <f>6*120*6</f>
        <v>4320</v>
      </c>
      <c r="N149" s="3439"/>
      <c r="O149" s="504"/>
      <c r="P149" s="504"/>
      <c r="Q149" s="504"/>
      <c r="R149" s="504"/>
      <c r="S149" s="504">
        <f t="shared" si="45"/>
        <v>4320</v>
      </c>
      <c r="T149" s="504"/>
      <c r="U149" s="504"/>
      <c r="V149" s="504"/>
      <c r="W149" s="504"/>
      <c r="X149" s="504"/>
      <c r="Y149" s="504"/>
      <c r="Z149" s="504"/>
      <c r="AA149" s="569"/>
      <c r="AB149" s="505"/>
      <c r="AC149" s="576"/>
      <c r="AD149" s="576"/>
      <c r="AE149" s="576"/>
      <c r="AF149" s="576"/>
    </row>
    <row r="150" spans="1:32" ht="36" customHeight="1">
      <c r="A150" s="658"/>
      <c r="B150" s="658"/>
      <c r="C150" s="658"/>
      <c r="D150" s="658"/>
      <c r="E150" s="3411" t="s">
        <v>1110</v>
      </c>
      <c r="F150" s="3413" t="s">
        <v>1111</v>
      </c>
      <c r="G150" s="3411" t="s">
        <v>1112</v>
      </c>
      <c r="H150" s="605"/>
      <c r="I150" s="490" t="s">
        <v>768</v>
      </c>
      <c r="J150" s="605"/>
      <c r="K150" s="664"/>
      <c r="L150" s="629" t="s">
        <v>1113</v>
      </c>
      <c r="M150" s="525">
        <f>175*25*2</f>
        <v>8750</v>
      </c>
      <c r="N150" s="3435"/>
      <c r="O150" s="518"/>
      <c r="P150" s="518"/>
      <c r="Q150" s="518"/>
      <c r="R150" s="518"/>
      <c r="S150" s="518">
        <f t="shared" si="45"/>
        <v>8750</v>
      </c>
      <c r="T150" s="518"/>
      <c r="U150" s="518"/>
      <c r="V150" s="518"/>
      <c r="W150" s="518"/>
      <c r="X150" s="518"/>
      <c r="Y150" s="518"/>
      <c r="Z150" s="518"/>
      <c r="AA150" s="526"/>
      <c r="AB150" s="481"/>
      <c r="AC150" s="576"/>
      <c r="AD150" s="576"/>
      <c r="AE150" s="576"/>
      <c r="AF150" s="576"/>
    </row>
    <row r="151" spans="1:32" ht="38.049999999999997" customHeight="1">
      <c r="A151" s="660"/>
      <c r="B151" s="660"/>
      <c r="C151" s="660"/>
      <c r="D151" s="660"/>
      <c r="E151" s="3430"/>
      <c r="F151" s="3415"/>
      <c r="G151" s="3430"/>
      <c r="H151" s="579"/>
      <c r="I151" s="489"/>
      <c r="J151" s="579"/>
      <c r="K151" s="591"/>
      <c r="L151" s="629" t="s">
        <v>1114</v>
      </c>
      <c r="M151" s="525">
        <f>175*70*1</f>
        <v>12250</v>
      </c>
      <c r="N151" s="3436"/>
      <c r="O151" s="518"/>
      <c r="P151" s="518"/>
      <c r="Q151" s="518"/>
      <c r="R151" s="518"/>
      <c r="S151" s="518">
        <f t="shared" si="45"/>
        <v>12250</v>
      </c>
      <c r="T151" s="518"/>
      <c r="U151" s="518"/>
      <c r="V151" s="518"/>
      <c r="W151" s="518"/>
      <c r="X151" s="518"/>
      <c r="Y151" s="518"/>
      <c r="Z151" s="518"/>
      <c r="AA151" s="526"/>
      <c r="AB151" s="481"/>
      <c r="AC151" s="576"/>
      <c r="AD151" s="576"/>
      <c r="AE151" s="576"/>
      <c r="AF151" s="576"/>
    </row>
    <row r="152" spans="1:32" ht="25" customHeight="1">
      <c r="A152" s="661"/>
      <c r="B152" s="661"/>
      <c r="C152" s="661"/>
      <c r="D152" s="661"/>
      <c r="E152" s="3393" t="s">
        <v>1115</v>
      </c>
      <c r="F152" s="3393" t="s">
        <v>1116</v>
      </c>
      <c r="G152" s="3393" t="s">
        <v>1117</v>
      </c>
      <c r="H152" s="547"/>
      <c r="I152" s="616"/>
      <c r="J152" s="547"/>
      <c r="K152" s="616"/>
      <c r="L152" s="629" t="s">
        <v>1118</v>
      </c>
      <c r="M152" s="504">
        <f>2*1*1600</f>
        <v>3200</v>
      </c>
      <c r="N152" s="3432"/>
      <c r="O152" s="587"/>
      <c r="P152" s="587"/>
      <c r="Q152" s="587"/>
      <c r="R152" s="587"/>
      <c r="S152" s="587"/>
      <c r="T152" s="587">
        <f t="shared" ref="T152:T160" si="46">M152</f>
        <v>3200</v>
      </c>
      <c r="U152" s="587"/>
      <c r="V152" s="587"/>
      <c r="W152" s="587"/>
      <c r="X152" s="587"/>
      <c r="Y152" s="587"/>
      <c r="Z152" s="587"/>
      <c r="AA152" s="520"/>
      <c r="AB152" s="505"/>
      <c r="AC152" s="576"/>
      <c r="AD152" s="576"/>
      <c r="AE152" s="576"/>
      <c r="AF152" s="576"/>
    </row>
    <row r="153" spans="1:32" ht="20.6">
      <c r="A153" s="663"/>
      <c r="B153" s="663"/>
      <c r="C153" s="663"/>
      <c r="D153" s="663"/>
      <c r="E153" s="3387"/>
      <c r="F153" s="3387"/>
      <c r="G153" s="3387"/>
      <c r="H153" s="662"/>
      <c r="I153" s="618"/>
      <c r="J153" s="662"/>
      <c r="K153" s="618"/>
      <c r="L153" s="629" t="s">
        <v>1119</v>
      </c>
      <c r="M153" s="504">
        <f>9*1*1600</f>
        <v>14400</v>
      </c>
      <c r="N153" s="3433"/>
      <c r="O153" s="587"/>
      <c r="P153" s="587"/>
      <c r="Q153" s="587"/>
      <c r="R153" s="587"/>
      <c r="S153" s="587"/>
      <c r="T153" s="587">
        <f t="shared" si="46"/>
        <v>14400</v>
      </c>
      <c r="U153" s="587"/>
      <c r="V153" s="587"/>
      <c r="W153" s="587"/>
      <c r="X153" s="587"/>
      <c r="Y153" s="587"/>
      <c r="Z153" s="587"/>
      <c r="AA153" s="520"/>
      <c r="AB153" s="505"/>
      <c r="AC153" s="576"/>
      <c r="AD153" s="576"/>
      <c r="AE153" s="576"/>
      <c r="AF153" s="576"/>
    </row>
    <row r="154" spans="1:32" ht="20.6">
      <c r="A154" s="663"/>
      <c r="B154" s="663"/>
      <c r="C154" s="663"/>
      <c r="D154" s="663"/>
      <c r="E154" s="3387"/>
      <c r="F154" s="3387"/>
      <c r="G154" s="3387"/>
      <c r="H154" s="662"/>
      <c r="I154" s="618"/>
      <c r="J154" s="662"/>
      <c r="K154" s="618"/>
      <c r="L154" s="665" t="s">
        <v>1120</v>
      </c>
      <c r="M154" s="504">
        <f>500*6*2</f>
        <v>6000</v>
      </c>
      <c r="N154" s="3433"/>
      <c r="O154" s="587"/>
      <c r="P154" s="587"/>
      <c r="Q154" s="587"/>
      <c r="R154" s="587"/>
      <c r="S154" s="587"/>
      <c r="T154" s="587">
        <f t="shared" si="46"/>
        <v>6000</v>
      </c>
      <c r="U154" s="587"/>
      <c r="V154" s="587"/>
      <c r="W154" s="587"/>
      <c r="X154" s="587"/>
      <c r="Y154" s="587"/>
      <c r="Z154" s="587"/>
      <c r="AA154" s="520"/>
      <c r="AB154" s="505"/>
      <c r="AC154" s="576"/>
      <c r="AD154" s="576"/>
      <c r="AE154" s="576"/>
      <c r="AF154" s="576"/>
    </row>
    <row r="155" spans="1:32" ht="20.6">
      <c r="A155" s="662"/>
      <c r="B155" s="662"/>
      <c r="C155" s="662"/>
      <c r="D155" s="662"/>
      <c r="E155" s="3387"/>
      <c r="F155" s="3387"/>
      <c r="G155" s="3387"/>
      <c r="H155" s="502"/>
      <c r="I155" s="503"/>
      <c r="J155" s="502"/>
      <c r="K155" s="503"/>
      <c r="L155" s="629" t="s">
        <v>1121</v>
      </c>
      <c r="M155" s="504">
        <f>4*2*270</f>
        <v>2160</v>
      </c>
      <c r="N155" s="3433"/>
      <c r="O155" s="587"/>
      <c r="P155" s="587"/>
      <c r="Q155" s="587"/>
      <c r="R155" s="587"/>
      <c r="S155" s="587"/>
      <c r="T155" s="587">
        <f t="shared" si="46"/>
        <v>2160</v>
      </c>
      <c r="U155" s="587"/>
      <c r="V155" s="587"/>
      <c r="W155" s="587"/>
      <c r="X155" s="587"/>
      <c r="Y155" s="587"/>
      <c r="Z155" s="587"/>
      <c r="AA155" s="569"/>
      <c r="AB155" s="505"/>
      <c r="AC155" s="576"/>
      <c r="AD155" s="576"/>
      <c r="AE155" s="576"/>
      <c r="AF155" s="576"/>
    </row>
    <row r="156" spans="1:32" ht="30.9">
      <c r="A156" s="662"/>
      <c r="B156" s="662"/>
      <c r="C156" s="662"/>
      <c r="D156" s="662"/>
      <c r="E156" s="3387"/>
      <c r="F156" s="3387"/>
      <c r="G156" s="3387"/>
      <c r="H156" s="502"/>
      <c r="I156" s="503"/>
      <c r="J156" s="502"/>
      <c r="K156" s="503"/>
      <c r="L156" s="629" t="s">
        <v>1122</v>
      </c>
      <c r="M156" s="504">
        <f>18*2*240</f>
        <v>8640</v>
      </c>
      <c r="N156" s="3433"/>
      <c r="O156" s="587"/>
      <c r="P156" s="587"/>
      <c r="Q156" s="587"/>
      <c r="R156" s="587"/>
      <c r="S156" s="587"/>
      <c r="T156" s="587">
        <f t="shared" si="46"/>
        <v>8640</v>
      </c>
      <c r="U156" s="587"/>
      <c r="V156" s="587"/>
      <c r="W156" s="587"/>
      <c r="X156" s="587"/>
      <c r="Y156" s="587"/>
      <c r="Z156" s="587"/>
      <c r="AA156" s="569"/>
      <c r="AB156" s="505"/>
      <c r="AC156" s="576"/>
      <c r="AD156" s="576"/>
      <c r="AE156" s="576"/>
      <c r="AF156" s="576"/>
    </row>
    <row r="157" spans="1:32" ht="20.6">
      <c r="A157" s="662"/>
      <c r="B157" s="662"/>
      <c r="C157" s="662"/>
      <c r="D157" s="662"/>
      <c r="E157" s="3387"/>
      <c r="F157" s="3387"/>
      <c r="G157" s="3387"/>
      <c r="H157" s="502"/>
      <c r="I157" s="503"/>
      <c r="J157" s="502"/>
      <c r="K157" s="503"/>
      <c r="L157" s="629" t="s">
        <v>1123</v>
      </c>
      <c r="M157" s="504">
        <f>6*3*120</f>
        <v>2160</v>
      </c>
      <c r="N157" s="3433"/>
      <c r="O157" s="587"/>
      <c r="P157" s="587"/>
      <c r="Q157" s="587"/>
      <c r="R157" s="587"/>
      <c r="S157" s="587"/>
      <c r="T157" s="587">
        <f t="shared" si="46"/>
        <v>2160</v>
      </c>
      <c r="U157" s="587"/>
      <c r="V157" s="587"/>
      <c r="W157" s="587"/>
      <c r="X157" s="587"/>
      <c r="Y157" s="587"/>
      <c r="Z157" s="587"/>
      <c r="AA157" s="569"/>
      <c r="AB157" s="505"/>
      <c r="AC157" s="576"/>
      <c r="AD157" s="576"/>
      <c r="AE157" s="576"/>
      <c r="AF157" s="576"/>
    </row>
    <row r="158" spans="1:32" ht="20.6">
      <c r="A158" s="662"/>
      <c r="B158" s="662"/>
      <c r="C158" s="662"/>
      <c r="D158" s="662"/>
      <c r="E158" s="3387"/>
      <c r="F158" s="3387"/>
      <c r="G158" s="3387"/>
      <c r="H158" s="589"/>
      <c r="I158" s="503"/>
      <c r="J158" s="502"/>
      <c r="K158" s="503"/>
      <c r="L158" s="629" t="s">
        <v>1124</v>
      </c>
      <c r="M158" s="587">
        <f>4000*2</f>
        <v>8000</v>
      </c>
      <c r="N158" s="3433"/>
      <c r="O158" s="504"/>
      <c r="P158" s="504"/>
      <c r="Q158" s="504"/>
      <c r="R158" s="504"/>
      <c r="S158" s="504"/>
      <c r="T158" s="504">
        <f t="shared" si="46"/>
        <v>8000</v>
      </c>
      <c r="U158" s="504"/>
      <c r="V158" s="504"/>
      <c r="W158" s="504"/>
      <c r="X158" s="504"/>
      <c r="Y158" s="504"/>
      <c r="Z158" s="504"/>
      <c r="AA158" s="569"/>
      <c r="AB158" s="505"/>
      <c r="AC158" s="576"/>
      <c r="AD158" s="576"/>
      <c r="AE158" s="576"/>
      <c r="AF158" s="576"/>
    </row>
    <row r="159" spans="1:32" ht="27" customHeight="1">
      <c r="A159" s="578"/>
      <c r="B159" s="578"/>
      <c r="C159" s="578"/>
      <c r="D159" s="578"/>
      <c r="E159" s="578"/>
      <c r="F159" s="579"/>
      <c r="G159" s="579"/>
      <c r="H159" s="489"/>
      <c r="I159" s="486"/>
      <c r="J159" s="579"/>
      <c r="K159" s="486"/>
      <c r="L159" s="629" t="s">
        <v>1125</v>
      </c>
      <c r="M159" s="525">
        <v>5000</v>
      </c>
      <c r="N159" s="3434"/>
      <c r="O159" s="518"/>
      <c r="P159" s="518"/>
      <c r="Q159" s="518"/>
      <c r="R159" s="518"/>
      <c r="S159" s="518"/>
      <c r="T159" s="518">
        <f t="shared" si="46"/>
        <v>5000</v>
      </c>
      <c r="U159" s="518"/>
      <c r="V159" s="518"/>
      <c r="W159" s="518"/>
      <c r="X159" s="518"/>
      <c r="Y159" s="518"/>
      <c r="Z159" s="518"/>
      <c r="AA159" s="526"/>
      <c r="AB159" s="481"/>
      <c r="AC159" s="576"/>
      <c r="AD159" s="576"/>
      <c r="AE159" s="576"/>
      <c r="AF159" s="576"/>
    </row>
    <row r="160" spans="1:32" ht="43" customHeight="1">
      <c r="A160" s="658"/>
      <c r="B160" s="658"/>
      <c r="C160" s="658"/>
      <c r="D160" s="658"/>
      <c r="E160" s="3411" t="s">
        <v>1126</v>
      </c>
      <c r="F160" s="658"/>
      <c r="G160" s="3411" t="s">
        <v>1127</v>
      </c>
      <c r="H160" s="477"/>
      <c r="I160" s="477"/>
      <c r="J160" s="477"/>
      <c r="K160" s="477"/>
      <c r="L160" s="592" t="s">
        <v>1128</v>
      </c>
      <c r="M160" s="525">
        <f>500*15*2*17</f>
        <v>255000</v>
      </c>
      <c r="N160" s="3435"/>
      <c r="O160" s="518"/>
      <c r="P160" s="518"/>
      <c r="Q160" s="518"/>
      <c r="R160" s="518"/>
      <c r="S160" s="518"/>
      <c r="T160" s="518">
        <f t="shared" si="46"/>
        <v>255000</v>
      </c>
      <c r="U160" s="518"/>
      <c r="V160" s="518"/>
      <c r="W160" s="518"/>
      <c r="X160" s="518"/>
      <c r="Y160" s="518"/>
      <c r="Z160" s="518"/>
      <c r="AA160" s="526"/>
      <c r="AB160" s="481"/>
      <c r="AC160" s="576"/>
      <c r="AD160" s="576"/>
      <c r="AE160" s="576"/>
      <c r="AF160" s="576"/>
    </row>
    <row r="161" spans="1:34" ht="36" customHeight="1">
      <c r="A161" s="660"/>
      <c r="B161" s="660"/>
      <c r="C161" s="660"/>
      <c r="D161" s="660"/>
      <c r="E161" s="3430"/>
      <c r="F161" s="579"/>
      <c r="G161" s="3430"/>
      <c r="H161" s="489"/>
      <c r="I161" s="489"/>
      <c r="J161" s="489"/>
      <c r="K161" s="489"/>
      <c r="L161" s="592" t="s">
        <v>1129</v>
      </c>
      <c r="M161" s="525">
        <f>120*15*3*17</f>
        <v>91800</v>
      </c>
      <c r="N161" s="3436"/>
      <c r="O161" s="518"/>
      <c r="P161" s="518"/>
      <c r="Q161" s="518"/>
      <c r="R161" s="518"/>
      <c r="S161" s="518"/>
      <c r="T161" s="518">
        <f>M161</f>
        <v>91800</v>
      </c>
      <c r="U161" s="518"/>
      <c r="V161" s="518"/>
      <c r="W161" s="518"/>
      <c r="X161" s="518"/>
      <c r="Y161" s="518"/>
      <c r="Z161" s="518"/>
      <c r="AA161" s="526"/>
      <c r="AB161" s="481"/>
      <c r="AC161" s="576"/>
      <c r="AD161" s="576"/>
      <c r="AE161" s="576"/>
      <c r="AF161" s="576"/>
    </row>
    <row r="162" spans="1:34" s="447" customFormat="1" ht="20.05" customHeight="1">
      <c r="A162" s="462">
        <v>2</v>
      </c>
      <c r="B162" s="462">
        <v>6</v>
      </c>
      <c r="C162" s="462">
        <v>10</v>
      </c>
      <c r="D162" s="462">
        <v>34</v>
      </c>
      <c r="E162" s="463" t="s">
        <v>1130</v>
      </c>
      <c r="F162" s="463"/>
      <c r="G162" s="464"/>
      <c r="H162" s="465"/>
      <c r="I162" s="465"/>
      <c r="J162" s="465"/>
      <c r="K162" s="465"/>
      <c r="L162" s="465"/>
      <c r="M162" s="466"/>
      <c r="N162" s="466">
        <f>SUM(M163:M187)</f>
        <v>808910</v>
      </c>
      <c r="O162" s="466">
        <f t="shared" ref="O162:Z162" si="47">SUM(O163:O187)</f>
        <v>0</v>
      </c>
      <c r="P162" s="466">
        <f t="shared" si="47"/>
        <v>0</v>
      </c>
      <c r="Q162" s="467">
        <f t="shared" si="47"/>
        <v>0</v>
      </c>
      <c r="R162" s="467">
        <f t="shared" si="47"/>
        <v>0</v>
      </c>
      <c r="S162" s="467">
        <f t="shared" si="47"/>
        <v>0</v>
      </c>
      <c r="T162" s="467">
        <f t="shared" si="47"/>
        <v>0</v>
      </c>
      <c r="U162" s="467">
        <f t="shared" si="47"/>
        <v>0</v>
      </c>
      <c r="V162" s="467">
        <f t="shared" si="47"/>
        <v>46800</v>
      </c>
      <c r="W162" s="467">
        <f t="shared" si="47"/>
        <v>27860</v>
      </c>
      <c r="X162" s="467">
        <f t="shared" si="47"/>
        <v>734250</v>
      </c>
      <c r="Y162" s="467">
        <f t="shared" si="47"/>
        <v>0</v>
      </c>
      <c r="Z162" s="467">
        <f t="shared" si="47"/>
        <v>0</v>
      </c>
      <c r="AA162" s="465" t="s">
        <v>1241</v>
      </c>
      <c r="AB162" s="467" t="s">
        <v>1048</v>
      </c>
      <c r="AC162" s="469">
        <f>SUBTOTAL(9,O162:Q162)</f>
        <v>0</v>
      </c>
      <c r="AD162" s="469">
        <f>SUBTOTAL(9,R162:T162)</f>
        <v>0</v>
      </c>
      <c r="AE162" s="469">
        <f>SUBTOTAL(9,U162:W162)</f>
        <v>74660</v>
      </c>
      <c r="AF162" s="469">
        <f>SUBTOTAL(9,X162:Z162)</f>
        <v>734250</v>
      </c>
      <c r="AG162" s="470">
        <f>AC162+AD162+AE162+AF162</f>
        <v>808910</v>
      </c>
      <c r="AH162" s="471">
        <f>N162-AG162</f>
        <v>0</v>
      </c>
    </row>
    <row r="163" spans="1:34" ht="61.75">
      <c r="A163" s="555"/>
      <c r="B163" s="555"/>
      <c r="C163" s="555"/>
      <c r="D163" s="605"/>
      <c r="E163" s="629" t="s">
        <v>1131</v>
      </c>
      <c r="F163" s="629" t="s">
        <v>1132</v>
      </c>
      <c r="G163" s="629" t="s">
        <v>1133</v>
      </c>
      <c r="H163" s="458"/>
      <c r="I163" s="458"/>
      <c r="J163" s="458" t="s">
        <v>768</v>
      </c>
      <c r="K163" s="458" t="s">
        <v>768</v>
      </c>
      <c r="L163" s="629"/>
      <c r="M163" s="587"/>
      <c r="N163" s="626"/>
      <c r="O163" s="518"/>
      <c r="P163" s="518"/>
      <c r="Q163" s="518"/>
      <c r="R163" s="518"/>
      <c r="S163" s="518"/>
      <c r="T163" s="518"/>
      <c r="U163" s="518"/>
      <c r="V163" s="518"/>
      <c r="W163" s="518"/>
      <c r="X163" s="518"/>
      <c r="Y163" s="518"/>
      <c r="Z163" s="518"/>
      <c r="AA163" s="526"/>
      <c r="AB163" s="481"/>
      <c r="AC163" s="576"/>
      <c r="AD163" s="576"/>
      <c r="AE163" s="576"/>
      <c r="AF163" s="576"/>
    </row>
    <row r="164" spans="1:34" ht="35.049999999999997" customHeight="1">
      <c r="A164" s="515"/>
      <c r="B164" s="515"/>
      <c r="C164" s="515"/>
      <c r="D164" s="666"/>
      <c r="E164" s="658" t="s">
        <v>1134</v>
      </c>
      <c r="F164" s="3411" t="s">
        <v>1135</v>
      </c>
      <c r="G164" s="658" t="s">
        <v>1136</v>
      </c>
      <c r="H164" s="491"/>
      <c r="I164" s="491"/>
      <c r="J164" s="491" t="s">
        <v>768</v>
      </c>
      <c r="K164" s="491" t="s">
        <v>768</v>
      </c>
      <c r="L164" s="629" t="s">
        <v>1137</v>
      </c>
      <c r="M164" s="459">
        <f>60*2*25*1</f>
        <v>3000</v>
      </c>
      <c r="N164" s="3432"/>
      <c r="O164" s="518"/>
      <c r="P164" s="518"/>
      <c r="Q164" s="518"/>
      <c r="R164" s="518"/>
      <c r="S164" s="518"/>
      <c r="T164" s="518"/>
      <c r="U164" s="518"/>
      <c r="V164" s="518">
        <f t="shared" ref="V164:V167" si="48">M164</f>
        <v>3000</v>
      </c>
      <c r="W164" s="518"/>
      <c r="X164" s="518"/>
      <c r="Y164" s="518"/>
      <c r="Z164" s="518"/>
      <c r="AA164" s="526"/>
      <c r="AB164" s="481"/>
      <c r="AC164" s="576"/>
      <c r="AD164" s="576"/>
      <c r="AE164" s="576"/>
      <c r="AF164" s="576"/>
    </row>
    <row r="165" spans="1:34" ht="31" customHeight="1">
      <c r="A165" s="515"/>
      <c r="B165" s="515"/>
      <c r="C165" s="515"/>
      <c r="D165" s="666"/>
      <c r="E165" s="660"/>
      <c r="F165" s="3430"/>
      <c r="G165" s="660"/>
      <c r="H165" s="494"/>
      <c r="I165" s="494"/>
      <c r="J165" s="494"/>
      <c r="K165" s="494"/>
      <c r="L165" s="629" t="s">
        <v>1138</v>
      </c>
      <c r="M165" s="459">
        <f>60*70*1</f>
        <v>4200</v>
      </c>
      <c r="N165" s="3434"/>
      <c r="O165" s="518"/>
      <c r="P165" s="518"/>
      <c r="Q165" s="518"/>
      <c r="R165" s="518"/>
      <c r="S165" s="518"/>
      <c r="T165" s="518"/>
      <c r="U165" s="518"/>
      <c r="V165" s="518">
        <f t="shared" si="48"/>
        <v>4200</v>
      </c>
      <c r="W165" s="518"/>
      <c r="X165" s="518"/>
      <c r="Y165" s="518"/>
      <c r="Z165" s="518"/>
      <c r="AA165" s="526"/>
      <c r="AB165" s="481"/>
      <c r="AC165" s="576"/>
      <c r="AD165" s="576"/>
      <c r="AE165" s="576"/>
      <c r="AF165" s="576"/>
    </row>
    <row r="166" spans="1:34" ht="33.549999999999997" customHeight="1">
      <c r="A166" s="515"/>
      <c r="B166" s="515"/>
      <c r="C166" s="515"/>
      <c r="D166" s="667"/>
      <c r="E166" s="658" t="s">
        <v>1139</v>
      </c>
      <c r="F166" s="3411" t="s">
        <v>1140</v>
      </c>
      <c r="G166" s="658" t="s">
        <v>1141</v>
      </c>
      <c r="H166" s="491"/>
      <c r="I166" s="491"/>
      <c r="J166" s="491" t="s">
        <v>768</v>
      </c>
      <c r="K166" s="491" t="s">
        <v>768</v>
      </c>
      <c r="L166" s="629" t="s">
        <v>1142</v>
      </c>
      <c r="M166" s="459">
        <f>30*2*25*11</f>
        <v>16500</v>
      </c>
      <c r="N166" s="3432"/>
      <c r="O166" s="518"/>
      <c r="P166" s="518"/>
      <c r="Q166" s="518"/>
      <c r="R166" s="518"/>
      <c r="S166" s="518"/>
      <c r="T166" s="518"/>
      <c r="U166" s="518"/>
      <c r="V166" s="518">
        <f t="shared" si="48"/>
        <v>16500</v>
      </c>
      <c r="W166" s="518"/>
      <c r="X166" s="504"/>
      <c r="Y166" s="518"/>
      <c r="Z166" s="518"/>
      <c r="AA166" s="526"/>
      <c r="AB166" s="481"/>
      <c r="AC166" s="576"/>
      <c r="AD166" s="576"/>
      <c r="AE166" s="576"/>
      <c r="AF166" s="576"/>
    </row>
    <row r="167" spans="1:34" ht="34" customHeight="1">
      <c r="A167" s="515"/>
      <c r="B167" s="515"/>
      <c r="C167" s="515"/>
      <c r="D167" s="667"/>
      <c r="E167" s="660"/>
      <c r="F167" s="3430"/>
      <c r="G167" s="660"/>
      <c r="H167" s="494"/>
      <c r="I167" s="494"/>
      <c r="J167" s="494"/>
      <c r="K167" s="494"/>
      <c r="L167" s="629" t="s">
        <v>1143</v>
      </c>
      <c r="M167" s="459">
        <f>30*70*1*11</f>
        <v>23100</v>
      </c>
      <c r="N167" s="3434"/>
      <c r="O167" s="518"/>
      <c r="P167" s="518"/>
      <c r="Q167" s="518"/>
      <c r="R167" s="518"/>
      <c r="S167" s="518"/>
      <c r="T167" s="518"/>
      <c r="U167" s="518"/>
      <c r="V167" s="518">
        <f t="shared" si="48"/>
        <v>23100</v>
      </c>
      <c r="W167" s="518"/>
      <c r="X167" s="504"/>
      <c r="Y167" s="518"/>
      <c r="Z167" s="518"/>
      <c r="AA167" s="526"/>
      <c r="AB167" s="481"/>
      <c r="AC167" s="576"/>
      <c r="AD167" s="576"/>
      <c r="AE167" s="576"/>
      <c r="AF167" s="576"/>
    </row>
    <row r="168" spans="1:34" ht="38.049999999999997" customHeight="1">
      <c r="A168" s="515"/>
      <c r="B168" s="515"/>
      <c r="C168" s="515"/>
      <c r="D168" s="667"/>
      <c r="E168" s="3411" t="s">
        <v>1144</v>
      </c>
      <c r="F168" s="658" t="s">
        <v>1145</v>
      </c>
      <c r="G168" s="658" t="s">
        <v>1146</v>
      </c>
      <c r="H168" s="491"/>
      <c r="I168" s="491"/>
      <c r="J168" s="491"/>
      <c r="K168" s="491" t="s">
        <v>768</v>
      </c>
      <c r="L168" s="629" t="s">
        <v>1147</v>
      </c>
      <c r="M168" s="459">
        <f>85*1*25</f>
        <v>2125</v>
      </c>
      <c r="N168" s="3432"/>
      <c r="O168" s="518"/>
      <c r="P168" s="518"/>
      <c r="Q168" s="518"/>
      <c r="R168" s="518"/>
      <c r="S168" s="518"/>
      <c r="T168" s="518"/>
      <c r="U168" s="518"/>
      <c r="V168" s="518"/>
      <c r="W168" s="518">
        <f t="shared" ref="W168:W170" si="49">M168</f>
        <v>2125</v>
      </c>
      <c r="X168" s="504"/>
      <c r="Y168" s="518"/>
      <c r="Z168" s="518"/>
      <c r="AA168" s="526"/>
      <c r="AB168" s="481"/>
      <c r="AC168" s="576"/>
      <c r="AD168" s="576"/>
      <c r="AE168" s="576"/>
      <c r="AF168" s="576"/>
    </row>
    <row r="169" spans="1:34" ht="30.9">
      <c r="A169" s="515"/>
      <c r="B169" s="515"/>
      <c r="C169" s="515"/>
      <c r="D169" s="667"/>
      <c r="E169" s="3412"/>
      <c r="F169" s="619"/>
      <c r="G169" s="619"/>
      <c r="H169" s="589"/>
      <c r="I169" s="589"/>
      <c r="J169" s="589"/>
      <c r="K169" s="589"/>
      <c r="L169" s="629" t="s">
        <v>1148</v>
      </c>
      <c r="M169" s="459">
        <f>85*70*1</f>
        <v>5950</v>
      </c>
      <c r="N169" s="3433"/>
      <c r="O169" s="518"/>
      <c r="P169" s="518"/>
      <c r="Q169" s="518"/>
      <c r="R169" s="518"/>
      <c r="S169" s="518"/>
      <c r="T169" s="518"/>
      <c r="U169" s="518"/>
      <c r="V169" s="518"/>
      <c r="W169" s="518">
        <f t="shared" si="49"/>
        <v>5950</v>
      </c>
      <c r="X169" s="504"/>
      <c r="Y169" s="518"/>
      <c r="Z169" s="518"/>
      <c r="AA169" s="526"/>
      <c r="AB169" s="481"/>
      <c r="AC169" s="576"/>
      <c r="AD169" s="576"/>
      <c r="AE169" s="576"/>
      <c r="AF169" s="576"/>
    </row>
    <row r="170" spans="1:34" ht="34.5" customHeight="1">
      <c r="A170" s="515"/>
      <c r="B170" s="515"/>
      <c r="C170" s="515"/>
      <c r="D170" s="667"/>
      <c r="E170" s="582"/>
      <c r="F170" s="582"/>
      <c r="G170" s="582"/>
      <c r="H170" s="494"/>
      <c r="I170" s="494"/>
      <c r="J170" s="494"/>
      <c r="K170" s="494"/>
      <c r="L170" s="500" t="s">
        <v>1149</v>
      </c>
      <c r="M170" s="587">
        <v>10000</v>
      </c>
      <c r="N170" s="3434"/>
      <c r="O170" s="518"/>
      <c r="P170" s="518"/>
      <c r="Q170" s="518"/>
      <c r="R170" s="518"/>
      <c r="S170" s="518"/>
      <c r="T170" s="518"/>
      <c r="U170" s="518"/>
      <c r="V170" s="518"/>
      <c r="W170" s="518">
        <f t="shared" si="49"/>
        <v>10000</v>
      </c>
      <c r="X170" s="518"/>
      <c r="Y170" s="518"/>
      <c r="Z170" s="518"/>
      <c r="AA170" s="526"/>
      <c r="AB170" s="481"/>
      <c r="AC170" s="576"/>
      <c r="AD170" s="576"/>
      <c r="AE170" s="576"/>
      <c r="AF170" s="576"/>
    </row>
    <row r="171" spans="1:34" ht="51.45">
      <c r="A171" s="515"/>
      <c r="B171" s="515"/>
      <c r="C171" s="515"/>
      <c r="D171" s="667"/>
      <c r="E171" s="629" t="s">
        <v>1150</v>
      </c>
      <c r="F171" s="635"/>
      <c r="G171" s="629"/>
      <c r="H171" s="458"/>
      <c r="I171" s="570"/>
      <c r="J171" s="569"/>
      <c r="K171" s="570" t="s">
        <v>768</v>
      </c>
      <c r="L171" s="668"/>
      <c r="M171" s="587"/>
      <c r="N171" s="626"/>
      <c r="O171" s="518"/>
      <c r="P171" s="518"/>
      <c r="Q171" s="518"/>
      <c r="R171" s="518"/>
      <c r="S171" s="518"/>
      <c r="T171" s="518"/>
      <c r="U171" s="518"/>
      <c r="V171" s="518"/>
      <c r="W171" s="518"/>
      <c r="X171" s="518"/>
      <c r="Y171" s="518"/>
      <c r="Z171" s="518"/>
      <c r="AA171" s="526"/>
      <c r="AB171" s="481"/>
      <c r="AC171" s="576"/>
      <c r="AD171" s="576"/>
      <c r="AE171" s="576"/>
      <c r="AF171" s="576"/>
    </row>
    <row r="172" spans="1:34" ht="41.15">
      <c r="A172" s="515"/>
      <c r="B172" s="515"/>
      <c r="C172" s="515"/>
      <c r="D172" s="667"/>
      <c r="E172" s="629" t="s">
        <v>1151</v>
      </c>
      <c r="F172" s="635" t="s">
        <v>1152</v>
      </c>
      <c r="G172" s="629" t="s">
        <v>1153</v>
      </c>
      <c r="H172" s="458"/>
      <c r="I172" s="570"/>
      <c r="J172" s="569"/>
      <c r="K172" s="570" t="s">
        <v>768</v>
      </c>
      <c r="L172" s="668" t="s">
        <v>1154</v>
      </c>
      <c r="M172" s="504">
        <f>200*50</f>
        <v>10000</v>
      </c>
      <c r="N172" s="626"/>
      <c r="O172" s="518"/>
      <c r="P172" s="518"/>
      <c r="Q172" s="518"/>
      <c r="R172" s="518"/>
      <c r="S172" s="518"/>
      <c r="T172" s="518"/>
      <c r="U172" s="518"/>
      <c r="V172" s="518"/>
      <c r="W172" s="518"/>
      <c r="X172" s="525">
        <f t="shared" ref="X172:X187" si="50">M172</f>
        <v>10000</v>
      </c>
      <c r="Y172" s="518"/>
      <c r="Z172" s="518"/>
      <c r="AA172" s="526"/>
      <c r="AB172" s="481"/>
      <c r="AC172" s="576"/>
      <c r="AD172" s="576"/>
      <c r="AE172" s="576"/>
      <c r="AF172" s="576"/>
    </row>
    <row r="173" spans="1:34" ht="41.05" customHeight="1">
      <c r="A173" s="515"/>
      <c r="B173" s="515"/>
      <c r="C173" s="515"/>
      <c r="D173" s="669"/>
      <c r="E173" s="3440" t="s">
        <v>1155</v>
      </c>
      <c r="F173" s="3440" t="s">
        <v>1156</v>
      </c>
      <c r="G173" s="3440" t="s">
        <v>1157</v>
      </c>
      <c r="H173" s="670"/>
      <c r="I173" s="671"/>
      <c r="J173" s="672"/>
      <c r="K173" s="671"/>
      <c r="L173" s="638" t="s">
        <v>1158</v>
      </c>
      <c r="M173" s="673">
        <f>103*1*25</f>
        <v>2575</v>
      </c>
      <c r="N173" s="3442"/>
      <c r="O173" s="673"/>
      <c r="P173" s="673"/>
      <c r="Q173" s="673"/>
      <c r="R173" s="673"/>
      <c r="S173" s="673"/>
      <c r="T173" s="673"/>
      <c r="U173" s="673"/>
      <c r="V173" s="673"/>
      <c r="W173" s="673">
        <f>M173</f>
        <v>2575</v>
      </c>
      <c r="X173" s="674"/>
      <c r="Y173" s="673"/>
      <c r="Z173" s="673"/>
      <c r="AA173" s="672"/>
      <c r="AB173" s="672"/>
      <c r="AC173" s="576"/>
      <c r="AD173" s="576"/>
      <c r="AE173" s="576"/>
      <c r="AF173" s="576"/>
    </row>
    <row r="174" spans="1:34" ht="44.5" customHeight="1">
      <c r="A174" s="515"/>
      <c r="B174" s="515"/>
      <c r="C174" s="515"/>
      <c r="D174" s="669"/>
      <c r="E174" s="3441"/>
      <c r="F174" s="3441"/>
      <c r="G174" s="3441"/>
      <c r="H174" s="670"/>
      <c r="I174" s="671"/>
      <c r="J174" s="672"/>
      <c r="K174" s="671"/>
      <c r="L174" s="638" t="s">
        <v>1159</v>
      </c>
      <c r="M174" s="673">
        <f>103*70*1</f>
        <v>7210</v>
      </c>
      <c r="N174" s="3443"/>
      <c r="O174" s="673"/>
      <c r="P174" s="673"/>
      <c r="Q174" s="673"/>
      <c r="R174" s="673"/>
      <c r="S174" s="673"/>
      <c r="T174" s="673"/>
      <c r="U174" s="673"/>
      <c r="V174" s="673"/>
      <c r="W174" s="673">
        <f>M174</f>
        <v>7210</v>
      </c>
      <c r="X174" s="674"/>
      <c r="Y174" s="673"/>
      <c r="Z174" s="673"/>
      <c r="AA174" s="672"/>
      <c r="AB174" s="672"/>
      <c r="AC174" s="576"/>
      <c r="AD174" s="576"/>
      <c r="AE174" s="576"/>
      <c r="AF174" s="576"/>
    </row>
    <row r="175" spans="1:34" ht="51.45">
      <c r="A175" s="515"/>
      <c r="B175" s="515"/>
      <c r="C175" s="515"/>
      <c r="D175" s="667"/>
      <c r="E175" s="658" t="s">
        <v>1160</v>
      </c>
      <c r="F175" s="658" t="s">
        <v>1161</v>
      </c>
      <c r="G175" s="658"/>
      <c r="H175" s="458"/>
      <c r="I175" s="458"/>
      <c r="J175" s="458"/>
      <c r="K175" s="458" t="s">
        <v>768</v>
      </c>
      <c r="L175" s="520"/>
      <c r="M175" s="504"/>
      <c r="N175" s="626"/>
      <c r="O175" s="525"/>
      <c r="P175" s="525"/>
      <c r="Q175" s="525"/>
      <c r="R175" s="525"/>
      <c r="S175" s="525"/>
      <c r="T175" s="525"/>
      <c r="U175" s="525"/>
      <c r="V175" s="525"/>
      <c r="W175" s="525"/>
      <c r="X175" s="525"/>
      <c r="Y175" s="504"/>
      <c r="Z175" s="504"/>
      <c r="AA175" s="592"/>
      <c r="AB175" s="481"/>
      <c r="AC175" s="576"/>
      <c r="AD175" s="576"/>
      <c r="AE175" s="576"/>
      <c r="AF175" s="576"/>
    </row>
    <row r="176" spans="1:34" ht="51.45">
      <c r="A176" s="515"/>
      <c r="B176" s="515"/>
      <c r="C176" s="515"/>
      <c r="D176" s="667"/>
      <c r="E176" s="619" t="s">
        <v>1162</v>
      </c>
      <c r="F176" s="619" t="s">
        <v>1163</v>
      </c>
      <c r="G176" s="619" t="s">
        <v>1164</v>
      </c>
      <c r="H176" s="491"/>
      <c r="I176" s="491"/>
      <c r="J176" s="491"/>
      <c r="K176" s="491" t="s">
        <v>768</v>
      </c>
      <c r="L176" s="520" t="s">
        <v>1165</v>
      </c>
      <c r="M176" s="504">
        <f>1600*5*3</f>
        <v>24000</v>
      </c>
      <c r="N176" s="3432"/>
      <c r="O176" s="525"/>
      <c r="P176" s="525"/>
      <c r="Q176" s="525"/>
      <c r="R176" s="525"/>
      <c r="S176" s="525"/>
      <c r="T176" s="525"/>
      <c r="U176" s="525"/>
      <c r="V176" s="525"/>
      <c r="W176" s="525"/>
      <c r="X176" s="525">
        <f t="shared" si="50"/>
        <v>24000</v>
      </c>
      <c r="Y176" s="504"/>
      <c r="Z176" s="504"/>
      <c r="AA176" s="592"/>
      <c r="AB176" s="481"/>
      <c r="AC176" s="576"/>
      <c r="AD176" s="576"/>
      <c r="AE176" s="576"/>
      <c r="AF176" s="576"/>
    </row>
    <row r="177" spans="1:34" ht="30.9">
      <c r="A177" s="515"/>
      <c r="B177" s="515"/>
      <c r="C177" s="515"/>
      <c r="D177" s="667"/>
      <c r="E177" s="619"/>
      <c r="F177" s="619"/>
      <c r="G177" s="619"/>
      <c r="H177" s="589"/>
      <c r="I177" s="589"/>
      <c r="J177" s="589"/>
      <c r="K177" s="589"/>
      <c r="L177" s="520" t="s">
        <v>1166</v>
      </c>
      <c r="M177" s="504">
        <f>1600*7*4</f>
        <v>44800</v>
      </c>
      <c r="N177" s="3433"/>
      <c r="O177" s="525"/>
      <c r="P177" s="525"/>
      <c r="Q177" s="525"/>
      <c r="R177" s="525"/>
      <c r="S177" s="525"/>
      <c r="T177" s="525"/>
      <c r="U177" s="525"/>
      <c r="V177" s="525"/>
      <c r="W177" s="525"/>
      <c r="X177" s="525">
        <f t="shared" si="50"/>
        <v>44800</v>
      </c>
      <c r="Y177" s="504"/>
      <c r="Z177" s="504"/>
      <c r="AA177" s="592"/>
      <c r="AB177" s="481"/>
      <c r="AC177" s="576"/>
      <c r="AD177" s="576"/>
      <c r="AE177" s="576"/>
      <c r="AF177" s="576"/>
    </row>
    <row r="178" spans="1:34" ht="20.6">
      <c r="A178" s="515"/>
      <c r="B178" s="515"/>
      <c r="C178" s="515"/>
      <c r="D178" s="667"/>
      <c r="E178" s="619"/>
      <c r="F178" s="619"/>
      <c r="G178" s="619"/>
      <c r="H178" s="589"/>
      <c r="I178" s="589"/>
      <c r="J178" s="589"/>
      <c r="K178" s="589"/>
      <c r="L178" s="520" t="s">
        <v>1167</v>
      </c>
      <c r="M178" s="504">
        <f>270*5*3</f>
        <v>4050</v>
      </c>
      <c r="N178" s="3433"/>
      <c r="O178" s="525"/>
      <c r="P178" s="525"/>
      <c r="Q178" s="525"/>
      <c r="R178" s="525"/>
      <c r="S178" s="525"/>
      <c r="T178" s="525"/>
      <c r="U178" s="525"/>
      <c r="V178" s="525"/>
      <c r="W178" s="525"/>
      <c r="X178" s="525">
        <f t="shared" si="50"/>
        <v>4050</v>
      </c>
      <c r="Y178" s="504"/>
      <c r="Z178" s="504"/>
      <c r="AA178" s="592"/>
      <c r="AB178" s="481"/>
      <c r="AC178" s="576"/>
      <c r="AD178" s="576"/>
      <c r="AE178" s="576"/>
      <c r="AF178" s="576"/>
    </row>
    <row r="179" spans="1:34" ht="20.6">
      <c r="A179" s="515"/>
      <c r="B179" s="515"/>
      <c r="C179" s="515"/>
      <c r="D179" s="667"/>
      <c r="E179" s="619"/>
      <c r="F179" s="619"/>
      <c r="G179" s="619"/>
      <c r="H179" s="589"/>
      <c r="I179" s="589"/>
      <c r="J179" s="589"/>
      <c r="K179" s="589"/>
      <c r="L179" s="520" t="s">
        <v>1168</v>
      </c>
      <c r="M179" s="459">
        <f>240*11*5</f>
        <v>13200</v>
      </c>
      <c r="N179" s="3433"/>
      <c r="O179" s="479"/>
      <c r="P179" s="479"/>
      <c r="Q179" s="479"/>
      <c r="R179" s="479"/>
      <c r="S179" s="479"/>
      <c r="T179" s="479"/>
      <c r="U179" s="479"/>
      <c r="V179" s="479"/>
      <c r="W179" s="479"/>
      <c r="X179" s="479">
        <f t="shared" si="50"/>
        <v>13200</v>
      </c>
      <c r="Y179" s="504"/>
      <c r="Z179" s="504"/>
      <c r="AA179" s="592"/>
      <c r="AB179" s="481"/>
      <c r="AC179" s="576"/>
      <c r="AD179" s="576"/>
      <c r="AE179" s="576"/>
      <c r="AF179" s="576"/>
    </row>
    <row r="180" spans="1:34" ht="20.6">
      <c r="A180" s="515"/>
      <c r="B180" s="515"/>
      <c r="C180" s="515"/>
      <c r="D180" s="667"/>
      <c r="E180" s="619"/>
      <c r="F180" s="619"/>
      <c r="G180" s="619"/>
      <c r="H180" s="589"/>
      <c r="I180" s="589"/>
      <c r="J180" s="589"/>
      <c r="K180" s="589"/>
      <c r="L180" s="520" t="s">
        <v>1169</v>
      </c>
      <c r="M180" s="459">
        <f>240*3*5</f>
        <v>3600</v>
      </c>
      <c r="N180" s="3433"/>
      <c r="O180" s="479"/>
      <c r="P180" s="479"/>
      <c r="Q180" s="479"/>
      <c r="R180" s="479"/>
      <c r="S180" s="479"/>
      <c r="T180" s="479"/>
      <c r="U180" s="479"/>
      <c r="V180" s="479"/>
      <c r="W180" s="479"/>
      <c r="X180" s="479">
        <f t="shared" si="50"/>
        <v>3600</v>
      </c>
      <c r="Y180" s="504"/>
      <c r="Z180" s="504"/>
      <c r="AA180" s="592"/>
      <c r="AB180" s="481"/>
      <c r="AC180" s="576"/>
      <c r="AD180" s="576"/>
      <c r="AE180" s="576"/>
      <c r="AF180" s="576"/>
    </row>
    <row r="181" spans="1:34" ht="41.15">
      <c r="A181" s="515"/>
      <c r="B181" s="515"/>
      <c r="C181" s="515"/>
      <c r="D181" s="666"/>
      <c r="E181" s="619"/>
      <c r="F181" s="502"/>
      <c r="G181" s="502"/>
      <c r="H181" s="618"/>
      <c r="I181" s="589"/>
      <c r="J181" s="502"/>
      <c r="K181" s="589"/>
      <c r="L181" s="520" t="s">
        <v>1170</v>
      </c>
      <c r="M181" s="504">
        <f>5000*5</f>
        <v>25000</v>
      </c>
      <c r="N181" s="3433"/>
      <c r="O181" s="525"/>
      <c r="P181" s="525"/>
      <c r="Q181" s="525"/>
      <c r="R181" s="525"/>
      <c r="S181" s="525"/>
      <c r="T181" s="525"/>
      <c r="U181" s="525"/>
      <c r="V181" s="525"/>
      <c r="W181" s="525"/>
      <c r="X181" s="525">
        <f t="shared" si="50"/>
        <v>25000</v>
      </c>
      <c r="Y181" s="504"/>
      <c r="Z181" s="504"/>
      <c r="AA181" s="592"/>
      <c r="AB181" s="481"/>
      <c r="AC181" s="576"/>
      <c r="AD181" s="576"/>
      <c r="AE181" s="576"/>
      <c r="AF181" s="576"/>
    </row>
    <row r="182" spans="1:34" ht="51.45">
      <c r="A182" s="515"/>
      <c r="B182" s="515"/>
      <c r="C182" s="515"/>
      <c r="D182" s="667"/>
      <c r="E182" s="619"/>
      <c r="F182" s="502"/>
      <c r="G182" s="502"/>
      <c r="H182" s="589"/>
      <c r="I182" s="589"/>
      <c r="J182" s="589"/>
      <c r="K182" s="589"/>
      <c r="L182" s="661" t="s">
        <v>1171</v>
      </c>
      <c r="M182" s="504">
        <f>8000*3</f>
        <v>24000</v>
      </c>
      <c r="N182" s="3434"/>
      <c r="O182" s="525"/>
      <c r="P182" s="525"/>
      <c r="Q182" s="525"/>
      <c r="R182" s="525"/>
      <c r="S182" s="525"/>
      <c r="T182" s="525"/>
      <c r="U182" s="525"/>
      <c r="V182" s="525"/>
      <c r="W182" s="525"/>
      <c r="X182" s="525">
        <f t="shared" si="50"/>
        <v>24000</v>
      </c>
      <c r="Y182" s="504"/>
      <c r="Z182" s="504"/>
      <c r="AA182" s="592"/>
      <c r="AB182" s="481"/>
      <c r="AC182" s="576"/>
      <c r="AD182" s="576"/>
      <c r="AE182" s="576"/>
      <c r="AF182" s="576"/>
    </row>
    <row r="183" spans="1:34" ht="41.15">
      <c r="A183" s="515"/>
      <c r="B183" s="515"/>
      <c r="C183" s="515"/>
      <c r="D183" s="667"/>
      <c r="E183" s="515"/>
      <c r="F183" s="629" t="s">
        <v>1172</v>
      </c>
      <c r="G183" s="520" t="s">
        <v>1173</v>
      </c>
      <c r="H183" s="458"/>
      <c r="I183" s="458"/>
      <c r="J183" s="458"/>
      <c r="K183" s="458" t="s">
        <v>768</v>
      </c>
      <c r="L183" s="520" t="s">
        <v>1174</v>
      </c>
      <c r="M183" s="504">
        <v>50000</v>
      </c>
      <c r="N183" s="626"/>
      <c r="O183" s="525"/>
      <c r="P183" s="525"/>
      <c r="Q183" s="525"/>
      <c r="R183" s="525"/>
      <c r="S183" s="525"/>
      <c r="T183" s="525"/>
      <c r="U183" s="525"/>
      <c r="V183" s="525"/>
      <c r="W183" s="525"/>
      <c r="X183" s="525">
        <f t="shared" si="50"/>
        <v>50000</v>
      </c>
      <c r="Y183" s="504"/>
      <c r="Z183" s="504"/>
      <c r="AA183" s="592"/>
      <c r="AB183" s="481"/>
      <c r="AC183" s="576"/>
      <c r="AD183" s="576"/>
      <c r="AE183" s="576"/>
      <c r="AF183" s="576"/>
    </row>
    <row r="184" spans="1:34" ht="36" customHeight="1">
      <c r="A184" s="515"/>
      <c r="B184" s="515"/>
      <c r="C184" s="515"/>
      <c r="D184" s="667"/>
      <c r="E184" s="515"/>
      <c r="F184" s="619" t="s">
        <v>1175</v>
      </c>
      <c r="G184" s="662" t="s">
        <v>1176</v>
      </c>
      <c r="H184" s="589"/>
      <c r="I184" s="589"/>
      <c r="J184" s="589"/>
      <c r="K184" s="589" t="s">
        <v>768</v>
      </c>
      <c r="L184" s="541" t="s">
        <v>1177</v>
      </c>
      <c r="M184" s="459">
        <f>120*30*5</f>
        <v>18000</v>
      </c>
      <c r="N184" s="3444"/>
      <c r="O184" s="479"/>
      <c r="P184" s="479"/>
      <c r="Q184" s="479"/>
      <c r="R184" s="479"/>
      <c r="S184" s="479"/>
      <c r="T184" s="479"/>
      <c r="U184" s="479"/>
      <c r="V184" s="479"/>
      <c r="W184" s="479"/>
      <c r="X184" s="479">
        <f t="shared" si="50"/>
        <v>18000</v>
      </c>
      <c r="Y184" s="504"/>
      <c r="Z184" s="504"/>
      <c r="AA184" s="480"/>
      <c r="AB184" s="481"/>
      <c r="AC184" s="576"/>
      <c r="AD184" s="576"/>
      <c r="AE184" s="576"/>
      <c r="AF184" s="576"/>
    </row>
    <row r="185" spans="1:34" ht="28.5" customHeight="1">
      <c r="A185" s="515"/>
      <c r="B185" s="515"/>
      <c r="C185" s="515"/>
      <c r="D185" s="667"/>
      <c r="E185" s="515"/>
      <c r="F185" s="485"/>
      <c r="G185" s="485"/>
      <c r="H185" s="589"/>
      <c r="I185" s="589"/>
      <c r="J185" s="589"/>
      <c r="K185" s="589"/>
      <c r="L185" s="520" t="s">
        <v>1178</v>
      </c>
      <c r="M185" s="504">
        <f>500*30*4</f>
        <v>60000</v>
      </c>
      <c r="N185" s="3445"/>
      <c r="O185" s="525"/>
      <c r="P185" s="525"/>
      <c r="Q185" s="525"/>
      <c r="R185" s="525"/>
      <c r="S185" s="525"/>
      <c r="T185" s="525"/>
      <c r="U185" s="525"/>
      <c r="V185" s="525"/>
      <c r="W185" s="525"/>
      <c r="X185" s="525">
        <f t="shared" si="50"/>
        <v>60000</v>
      </c>
      <c r="Y185" s="504"/>
      <c r="Z185" s="504"/>
      <c r="AA185" s="480"/>
      <c r="AB185" s="481"/>
      <c r="AC185" s="576"/>
      <c r="AD185" s="576"/>
      <c r="AE185" s="576"/>
      <c r="AF185" s="576"/>
    </row>
    <row r="186" spans="1:34" ht="51.45">
      <c r="A186" s="515"/>
      <c r="B186" s="515"/>
      <c r="C186" s="515"/>
      <c r="D186" s="515"/>
      <c r="E186" s="662" t="s">
        <v>1179</v>
      </c>
      <c r="F186" s="547" t="s">
        <v>1161</v>
      </c>
      <c r="G186" s="547" t="s">
        <v>1180</v>
      </c>
      <c r="H186" s="491"/>
      <c r="I186" s="490"/>
      <c r="J186" s="491"/>
      <c r="K186" s="490" t="s">
        <v>768</v>
      </c>
      <c r="L186" s="520" t="s">
        <v>1181</v>
      </c>
      <c r="M186" s="587">
        <f>500*16*4*11</f>
        <v>352000</v>
      </c>
      <c r="N186" s="3432"/>
      <c r="O186" s="518"/>
      <c r="P186" s="518"/>
      <c r="Q186" s="518"/>
      <c r="R186" s="518"/>
      <c r="S186" s="518"/>
      <c r="T186" s="518"/>
      <c r="U186" s="518"/>
      <c r="V186" s="518"/>
      <c r="W186" s="518"/>
      <c r="X186" s="518">
        <f t="shared" si="50"/>
        <v>352000</v>
      </c>
      <c r="Y186" s="504"/>
      <c r="Z186" s="504"/>
      <c r="AA186" s="526"/>
      <c r="AB186" s="481"/>
      <c r="AC186" s="576"/>
      <c r="AD186" s="576"/>
      <c r="AE186" s="576"/>
      <c r="AF186" s="576"/>
    </row>
    <row r="187" spans="1:34" ht="30.9">
      <c r="A187" s="527"/>
      <c r="B187" s="527"/>
      <c r="C187" s="527"/>
      <c r="D187" s="527"/>
      <c r="E187" s="493"/>
      <c r="F187" s="493"/>
      <c r="G187" s="493"/>
      <c r="H187" s="493"/>
      <c r="I187" s="493"/>
      <c r="J187" s="493"/>
      <c r="K187" s="493"/>
      <c r="L187" s="520" t="s">
        <v>1182</v>
      </c>
      <c r="M187" s="587">
        <f>120*16*5*11</f>
        <v>105600</v>
      </c>
      <c r="N187" s="3434"/>
      <c r="O187" s="518"/>
      <c r="P187" s="518"/>
      <c r="Q187" s="518"/>
      <c r="R187" s="518"/>
      <c r="S187" s="518"/>
      <c r="T187" s="518"/>
      <c r="U187" s="518"/>
      <c r="V187" s="518"/>
      <c r="W187" s="518"/>
      <c r="X187" s="518">
        <f t="shared" si="50"/>
        <v>105600</v>
      </c>
      <c r="Y187" s="504"/>
      <c r="Z187" s="504"/>
      <c r="AA187" s="526"/>
      <c r="AB187" s="481"/>
      <c r="AC187" s="576"/>
      <c r="AD187" s="576"/>
      <c r="AE187" s="576"/>
      <c r="AF187" s="576"/>
    </row>
    <row r="188" spans="1:34" s="447" customFormat="1" ht="20.05" customHeight="1">
      <c r="A188" s="462">
        <v>2</v>
      </c>
      <c r="B188" s="462">
        <v>6</v>
      </c>
      <c r="C188" s="462">
        <v>14</v>
      </c>
      <c r="D188" s="462">
        <v>35</v>
      </c>
      <c r="E188" s="463" t="s">
        <v>1183</v>
      </c>
      <c r="F188" s="463"/>
      <c r="G188" s="464"/>
      <c r="H188" s="465"/>
      <c r="I188" s="465"/>
      <c r="J188" s="465"/>
      <c r="K188" s="465"/>
      <c r="L188" s="465"/>
      <c r="M188" s="466"/>
      <c r="N188" s="466">
        <f>SUM(M189:M191)</f>
        <v>24360</v>
      </c>
      <c r="O188" s="466">
        <f t="shared" ref="O188:Z188" si="51">SUM(O189:O191)</f>
        <v>0</v>
      </c>
      <c r="P188" s="466">
        <f t="shared" si="51"/>
        <v>0</v>
      </c>
      <c r="Q188" s="467">
        <f t="shared" si="51"/>
        <v>15000</v>
      </c>
      <c r="R188" s="467">
        <f t="shared" si="51"/>
        <v>0</v>
      </c>
      <c r="S188" s="467">
        <f t="shared" si="51"/>
        <v>0</v>
      </c>
      <c r="T188" s="467">
        <f t="shared" si="51"/>
        <v>0</v>
      </c>
      <c r="U188" s="467">
        <f t="shared" si="51"/>
        <v>0</v>
      </c>
      <c r="V188" s="467">
        <f t="shared" si="51"/>
        <v>4680</v>
      </c>
      <c r="W188" s="467">
        <f t="shared" si="51"/>
        <v>4680</v>
      </c>
      <c r="X188" s="467">
        <f t="shared" si="51"/>
        <v>0</v>
      </c>
      <c r="Y188" s="467">
        <f t="shared" si="51"/>
        <v>0</v>
      </c>
      <c r="Z188" s="467">
        <f t="shared" si="51"/>
        <v>0</v>
      </c>
      <c r="AA188" s="465" t="s">
        <v>1241</v>
      </c>
      <c r="AB188" s="467" t="s">
        <v>1048</v>
      </c>
      <c r="AC188" s="469">
        <f>SUBTOTAL(9,O188:Q188)</f>
        <v>15000</v>
      </c>
      <c r="AD188" s="469">
        <f>SUBTOTAL(9,R188:T188)</f>
        <v>0</v>
      </c>
      <c r="AE188" s="469">
        <f>SUBTOTAL(9,U188:W188)</f>
        <v>9360</v>
      </c>
      <c r="AF188" s="469">
        <f>SUBTOTAL(9,X188:Z188)</f>
        <v>0</v>
      </c>
      <c r="AG188" s="470">
        <f>AC188+AD188+AE188+AF188</f>
        <v>24360</v>
      </c>
      <c r="AH188" s="471">
        <f>N188-AG188</f>
        <v>0</v>
      </c>
    </row>
    <row r="189" spans="1:34" ht="31.5" customHeight="1">
      <c r="A189" s="555"/>
      <c r="B189" s="555"/>
      <c r="C189" s="555"/>
      <c r="D189" s="555"/>
      <c r="E189" s="3411" t="s">
        <v>1184</v>
      </c>
      <c r="F189" s="3411" t="s">
        <v>1185</v>
      </c>
      <c r="G189" s="3411" t="s">
        <v>1186</v>
      </c>
      <c r="H189" s="473"/>
      <c r="I189" s="490" t="s">
        <v>768</v>
      </c>
      <c r="J189" s="473"/>
      <c r="K189" s="490"/>
      <c r="L189" s="514" t="s">
        <v>1187</v>
      </c>
      <c r="M189" s="675">
        <f>125*25*2</f>
        <v>6250</v>
      </c>
      <c r="N189" s="3446"/>
      <c r="O189" s="504"/>
      <c r="P189" s="504"/>
      <c r="Q189" s="504">
        <f>M189</f>
        <v>6250</v>
      </c>
      <c r="R189" s="504"/>
      <c r="S189" s="504"/>
      <c r="T189" s="504"/>
      <c r="U189" s="504"/>
      <c r="V189" s="504"/>
      <c r="W189" s="504"/>
      <c r="X189" s="504"/>
      <c r="Y189" s="504"/>
      <c r="Z189" s="504"/>
      <c r="AA189" s="648"/>
      <c r="AB189" s="634"/>
      <c r="AC189" s="576"/>
      <c r="AD189" s="576"/>
      <c r="AE189" s="576"/>
      <c r="AF189" s="576"/>
    </row>
    <row r="190" spans="1:34" ht="27.55" customHeight="1">
      <c r="A190" s="515"/>
      <c r="B190" s="515"/>
      <c r="C190" s="515"/>
      <c r="D190" s="515"/>
      <c r="E190" s="3430"/>
      <c r="F190" s="3430"/>
      <c r="G190" s="3430"/>
      <c r="H190" s="485"/>
      <c r="I190" s="493"/>
      <c r="J190" s="485"/>
      <c r="K190" s="493"/>
      <c r="L190" s="514" t="s">
        <v>1188</v>
      </c>
      <c r="M190" s="675">
        <f>125*70*1</f>
        <v>8750</v>
      </c>
      <c r="N190" s="3447"/>
      <c r="O190" s="504"/>
      <c r="P190" s="504"/>
      <c r="Q190" s="504">
        <f>M190</f>
        <v>8750</v>
      </c>
      <c r="R190" s="504"/>
      <c r="S190" s="504"/>
      <c r="T190" s="504"/>
      <c r="U190" s="504"/>
      <c r="V190" s="504"/>
      <c r="W190" s="504"/>
      <c r="X190" s="504"/>
      <c r="Y190" s="504"/>
      <c r="Z190" s="504"/>
      <c r="AA190" s="648"/>
      <c r="AB190" s="634"/>
      <c r="AC190" s="576"/>
      <c r="AD190" s="576"/>
      <c r="AE190" s="576"/>
      <c r="AF190" s="576"/>
    </row>
    <row r="191" spans="1:34" ht="63" customHeight="1">
      <c r="A191" s="527"/>
      <c r="B191" s="527"/>
      <c r="C191" s="527"/>
      <c r="D191" s="527"/>
      <c r="E191" s="629" t="s">
        <v>1189</v>
      </c>
      <c r="F191" s="629" t="s">
        <v>1190</v>
      </c>
      <c r="G191" s="676" t="s">
        <v>1191</v>
      </c>
      <c r="H191" s="569"/>
      <c r="I191" s="570"/>
      <c r="J191" s="569" t="s">
        <v>768</v>
      </c>
      <c r="K191" s="570"/>
      <c r="L191" s="514" t="s">
        <v>1192</v>
      </c>
      <c r="M191" s="677">
        <f>6*120*13</f>
        <v>9360</v>
      </c>
      <c r="N191" s="678"/>
      <c r="O191" s="679"/>
      <c r="P191" s="679"/>
      <c r="Q191" s="680"/>
      <c r="R191" s="679"/>
      <c r="S191" s="679"/>
      <c r="T191" s="679"/>
      <c r="U191" s="679"/>
      <c r="V191" s="679">
        <f>M191/2</f>
        <v>4680</v>
      </c>
      <c r="W191" s="679">
        <f>M191/2</f>
        <v>4680</v>
      </c>
      <c r="X191" s="679"/>
      <c r="Y191" s="504"/>
      <c r="Z191" s="504"/>
      <c r="AA191" s="648"/>
      <c r="AB191" s="634"/>
      <c r="AC191" s="576"/>
      <c r="AD191" s="576"/>
      <c r="AE191" s="576"/>
      <c r="AF191" s="576"/>
    </row>
    <row r="192" spans="1:34" s="447" customFormat="1" ht="20.05" customHeight="1">
      <c r="A192" s="462">
        <v>2</v>
      </c>
      <c r="B192" s="462">
        <v>6</v>
      </c>
      <c r="C192" s="462">
        <v>14</v>
      </c>
      <c r="D192" s="462">
        <v>36</v>
      </c>
      <c r="E192" s="463" t="s">
        <v>1193</v>
      </c>
      <c r="F192" s="463"/>
      <c r="G192" s="464"/>
      <c r="H192" s="465"/>
      <c r="I192" s="465"/>
      <c r="J192" s="465"/>
      <c r="K192" s="465"/>
      <c r="L192" s="465"/>
      <c r="M192" s="466"/>
      <c r="N192" s="466">
        <f>SUM(M193:M203)</f>
        <v>69780</v>
      </c>
      <c r="O192" s="466"/>
      <c r="P192" s="466">
        <f t="shared" ref="P192:R192" si="52">SUM(P193:P197)</f>
        <v>20580</v>
      </c>
      <c r="Q192" s="467">
        <f t="shared" si="52"/>
        <v>0</v>
      </c>
      <c r="R192" s="467">
        <f t="shared" si="52"/>
        <v>0</v>
      </c>
      <c r="S192" s="467">
        <f>SUM(S193:S203)</f>
        <v>49200</v>
      </c>
      <c r="T192" s="467">
        <f t="shared" ref="T192:W192" si="53">SUM(T193:T197)</f>
        <v>0</v>
      </c>
      <c r="U192" s="467">
        <f t="shared" si="53"/>
        <v>0</v>
      </c>
      <c r="V192" s="467">
        <f t="shared" si="53"/>
        <v>0</v>
      </c>
      <c r="W192" s="467">
        <f t="shared" si="53"/>
        <v>0</v>
      </c>
      <c r="X192" s="467"/>
      <c r="Y192" s="467"/>
      <c r="Z192" s="467"/>
      <c r="AA192" s="465" t="s">
        <v>1241</v>
      </c>
      <c r="AB192" s="467" t="s">
        <v>1048</v>
      </c>
      <c r="AC192" s="469">
        <f>SUBTOTAL(9,O192:Q192)</f>
        <v>20580</v>
      </c>
      <c r="AD192" s="469">
        <f>SUBTOTAL(9,R192:T192)</f>
        <v>49200</v>
      </c>
      <c r="AE192" s="469">
        <f>SUBTOTAL(9,U192:W192)</f>
        <v>0</v>
      </c>
      <c r="AF192" s="469">
        <f>SUBTOTAL(9,X192:Z192)</f>
        <v>0</v>
      </c>
      <c r="AG192" s="470">
        <f>AC192+AD192+AE192+AF192</f>
        <v>69780</v>
      </c>
      <c r="AH192" s="471">
        <f>N192-AG192</f>
        <v>0</v>
      </c>
    </row>
    <row r="193" spans="1:34" s="483" customFormat="1" ht="20.05" customHeight="1">
      <c r="A193" s="473"/>
      <c r="B193" s="473"/>
      <c r="C193" s="473"/>
      <c r="D193" s="490"/>
      <c r="E193" s="681"/>
      <c r="F193" s="3448" t="s">
        <v>1194</v>
      </c>
      <c r="G193" s="3448" t="s">
        <v>1195</v>
      </c>
      <c r="H193" s="3450" t="s">
        <v>239</v>
      </c>
      <c r="I193" s="3450"/>
      <c r="J193" s="3450"/>
      <c r="K193" s="3450"/>
      <c r="L193" s="682" t="s">
        <v>1196</v>
      </c>
      <c r="M193" s="683">
        <f>1100*2*2</f>
        <v>4400</v>
      </c>
      <c r="N193" s="3463"/>
      <c r="O193" s="684"/>
      <c r="P193" s="684">
        <f>M193</f>
        <v>4400</v>
      </c>
      <c r="Q193" s="459"/>
      <c r="R193" s="459"/>
      <c r="S193" s="459"/>
      <c r="T193" s="459"/>
      <c r="U193" s="459"/>
      <c r="V193" s="459"/>
      <c r="W193" s="459"/>
      <c r="X193" s="459"/>
      <c r="Y193" s="459"/>
      <c r="Z193" s="459"/>
      <c r="AA193" s="558"/>
      <c r="AB193" s="505"/>
      <c r="AC193" s="495"/>
      <c r="AD193" s="495"/>
      <c r="AE193" s="495"/>
      <c r="AF193" s="495"/>
    </row>
    <row r="194" spans="1:34" s="483" customFormat="1" ht="20.6">
      <c r="A194" s="502"/>
      <c r="B194" s="502"/>
      <c r="C194" s="502"/>
      <c r="D194" s="503"/>
      <c r="E194" s="685"/>
      <c r="F194" s="3449"/>
      <c r="G194" s="3449"/>
      <c r="H194" s="3451"/>
      <c r="I194" s="3451"/>
      <c r="J194" s="3451"/>
      <c r="K194" s="3451"/>
      <c r="L194" s="682" t="s">
        <v>1197</v>
      </c>
      <c r="M194" s="683">
        <f>500*2*5</f>
        <v>5000</v>
      </c>
      <c r="N194" s="3464"/>
      <c r="O194" s="684"/>
      <c r="P194" s="684">
        <f t="shared" ref="P194:P197" si="54">M194</f>
        <v>5000</v>
      </c>
      <c r="Q194" s="459"/>
      <c r="R194" s="459"/>
      <c r="S194" s="459"/>
      <c r="T194" s="459"/>
      <c r="U194" s="459"/>
      <c r="V194" s="459"/>
      <c r="W194" s="459"/>
      <c r="X194" s="459"/>
      <c r="Y194" s="459"/>
      <c r="Z194" s="459"/>
      <c r="AA194" s="558"/>
      <c r="AB194" s="505"/>
      <c r="AC194" s="495"/>
      <c r="AD194" s="495"/>
      <c r="AE194" s="495"/>
      <c r="AF194" s="495"/>
    </row>
    <row r="195" spans="1:34" s="483" customFormat="1" ht="20.6">
      <c r="A195" s="502"/>
      <c r="B195" s="502"/>
      <c r="C195" s="502"/>
      <c r="D195" s="503"/>
      <c r="E195" s="685"/>
      <c r="F195" s="3449"/>
      <c r="G195" s="3449"/>
      <c r="H195" s="3451"/>
      <c r="I195" s="3451"/>
      <c r="J195" s="3451"/>
      <c r="K195" s="3451"/>
      <c r="L195" s="682" t="s">
        <v>1198</v>
      </c>
      <c r="M195" s="683">
        <f>240*3*4</f>
        <v>2880</v>
      </c>
      <c r="N195" s="3464"/>
      <c r="O195" s="684"/>
      <c r="P195" s="684">
        <f t="shared" si="54"/>
        <v>2880</v>
      </c>
      <c r="Q195" s="459"/>
      <c r="R195" s="459"/>
      <c r="S195" s="459"/>
      <c r="T195" s="459"/>
      <c r="U195" s="459"/>
      <c r="V195" s="459"/>
      <c r="W195" s="459"/>
      <c r="X195" s="459"/>
      <c r="Y195" s="459"/>
      <c r="Z195" s="459"/>
      <c r="AA195" s="558"/>
      <c r="AB195" s="505"/>
      <c r="AC195" s="495"/>
      <c r="AD195" s="495"/>
      <c r="AE195" s="495"/>
      <c r="AF195" s="495"/>
    </row>
    <row r="196" spans="1:34" s="483" customFormat="1" ht="20.6">
      <c r="A196" s="502"/>
      <c r="B196" s="502"/>
      <c r="C196" s="502"/>
      <c r="D196" s="503"/>
      <c r="E196" s="685"/>
      <c r="F196" s="3449"/>
      <c r="G196" s="3449"/>
      <c r="H196" s="3451"/>
      <c r="I196" s="3451"/>
      <c r="J196" s="3451"/>
      <c r="K196" s="3451"/>
      <c r="L196" s="682" t="s">
        <v>1199</v>
      </c>
      <c r="M196" s="683">
        <f>120*3*5</f>
        <v>1800</v>
      </c>
      <c r="N196" s="3464"/>
      <c r="O196" s="684"/>
      <c r="P196" s="684">
        <f t="shared" si="54"/>
        <v>1800</v>
      </c>
      <c r="Q196" s="459"/>
      <c r="R196" s="459"/>
      <c r="S196" s="459"/>
      <c r="T196" s="459"/>
      <c r="U196" s="459"/>
      <c r="V196" s="459"/>
      <c r="W196" s="459"/>
      <c r="X196" s="459"/>
      <c r="Y196" s="459"/>
      <c r="Z196" s="459"/>
      <c r="AA196" s="558"/>
      <c r="AB196" s="505"/>
      <c r="AC196" s="495"/>
      <c r="AD196" s="495"/>
      <c r="AE196" s="495"/>
      <c r="AF196" s="495"/>
    </row>
    <row r="197" spans="1:34" s="483" customFormat="1" ht="30.9">
      <c r="A197" s="502"/>
      <c r="B197" s="502"/>
      <c r="C197" s="502"/>
      <c r="D197" s="503"/>
      <c r="E197" s="685"/>
      <c r="F197" s="3449"/>
      <c r="G197" s="3449"/>
      <c r="H197" s="3451"/>
      <c r="I197" s="3451"/>
      <c r="J197" s="3451"/>
      <c r="K197" s="3451"/>
      <c r="L197" s="686" t="s">
        <v>1200</v>
      </c>
      <c r="M197" s="687">
        <v>6500</v>
      </c>
      <c r="N197" s="3465"/>
      <c r="O197" s="684"/>
      <c r="P197" s="684">
        <f t="shared" si="54"/>
        <v>6500</v>
      </c>
      <c r="Q197" s="459"/>
      <c r="R197" s="459"/>
      <c r="S197" s="459"/>
      <c r="T197" s="459"/>
      <c r="U197" s="459"/>
      <c r="V197" s="459"/>
      <c r="W197" s="459"/>
      <c r="X197" s="459"/>
      <c r="Y197" s="459"/>
      <c r="Z197" s="459"/>
      <c r="AA197" s="558"/>
      <c r="AB197" s="505"/>
      <c r="AC197" s="495"/>
      <c r="AD197" s="495"/>
      <c r="AE197" s="495"/>
      <c r="AF197" s="495"/>
    </row>
    <row r="198" spans="1:34" s="696" customFormat="1" ht="30.9">
      <c r="A198" s="688"/>
      <c r="B198" s="603"/>
      <c r="C198" s="603"/>
      <c r="D198" s="603"/>
      <c r="E198" s="688"/>
      <c r="F198" s="606" t="s">
        <v>1201</v>
      </c>
      <c r="G198" s="686" t="s">
        <v>1202</v>
      </c>
      <c r="H198" s="686" t="s">
        <v>239</v>
      </c>
      <c r="I198" s="686" t="s">
        <v>239</v>
      </c>
      <c r="J198" s="686"/>
      <c r="K198" s="686"/>
      <c r="L198" s="613" t="s">
        <v>1203</v>
      </c>
      <c r="M198" s="689">
        <f>1600*4*2</f>
        <v>12800</v>
      </c>
      <c r="N198" s="690"/>
      <c r="O198" s="691"/>
      <c r="P198" s="691"/>
      <c r="Q198" s="691"/>
      <c r="R198" s="689"/>
      <c r="S198" s="689">
        <f t="shared" ref="S198:S203" si="55">M198</f>
        <v>12800</v>
      </c>
      <c r="T198" s="692"/>
      <c r="U198" s="692"/>
      <c r="V198" s="692"/>
      <c r="W198" s="692"/>
      <c r="X198" s="692"/>
      <c r="Y198" s="692"/>
      <c r="Z198" s="692"/>
      <c r="AA198" s="693"/>
      <c r="AB198" s="694"/>
      <c r="AC198" s="695"/>
      <c r="AD198" s="695"/>
      <c r="AE198" s="695"/>
      <c r="AF198" s="695"/>
    </row>
    <row r="199" spans="1:34" s="483" customFormat="1" ht="20.05" customHeight="1">
      <c r="A199" s="502"/>
      <c r="B199" s="502"/>
      <c r="C199" s="502"/>
      <c r="D199" s="503"/>
      <c r="E199" s="502"/>
      <c r="F199" s="697"/>
      <c r="G199" s="3466" t="s">
        <v>1204</v>
      </c>
      <c r="H199" s="3469"/>
      <c r="I199" s="3469"/>
      <c r="J199" s="3469"/>
      <c r="K199" s="3469"/>
      <c r="L199" s="686" t="s">
        <v>1205</v>
      </c>
      <c r="M199" s="691">
        <f>270*2*3</f>
        <v>1620</v>
      </c>
      <c r="N199" s="3442"/>
      <c r="O199" s="698"/>
      <c r="P199" s="699"/>
      <c r="Q199" s="699"/>
      <c r="R199" s="699"/>
      <c r="S199" s="689">
        <f>M199</f>
        <v>1620</v>
      </c>
      <c r="T199" s="700"/>
      <c r="U199" s="701"/>
      <c r="V199" s="701"/>
      <c r="W199" s="701"/>
      <c r="X199" s="701"/>
      <c r="Y199" s="701"/>
      <c r="Z199" s="701"/>
      <c r="AA199" s="702"/>
      <c r="AB199" s="703"/>
      <c r="AC199" s="495"/>
      <c r="AD199" s="495"/>
      <c r="AE199" s="495"/>
      <c r="AF199" s="495"/>
    </row>
    <row r="200" spans="1:34" s="483" customFormat="1" ht="20.6">
      <c r="A200" s="502"/>
      <c r="B200" s="502"/>
      <c r="C200" s="502"/>
      <c r="D200" s="503"/>
      <c r="E200" s="662"/>
      <c r="F200" s="697"/>
      <c r="G200" s="3467"/>
      <c r="H200" s="3469"/>
      <c r="I200" s="3469"/>
      <c r="J200" s="3469"/>
      <c r="K200" s="3469"/>
      <c r="L200" s="686" t="s">
        <v>1206</v>
      </c>
      <c r="M200" s="691">
        <f>240*3*3</f>
        <v>2160</v>
      </c>
      <c r="N200" s="3471"/>
      <c r="O200" s="704"/>
      <c r="P200" s="609"/>
      <c r="Q200" s="609"/>
      <c r="R200" s="609"/>
      <c r="S200" s="689">
        <f>M200</f>
        <v>2160</v>
      </c>
      <c r="T200" s="700"/>
      <c r="U200" s="701"/>
      <c r="V200" s="700"/>
      <c r="W200" s="700"/>
      <c r="X200" s="700"/>
      <c r="Y200" s="700"/>
      <c r="Z200" s="700"/>
      <c r="AA200" s="705"/>
      <c r="AB200" s="505"/>
      <c r="AC200" s="495"/>
      <c r="AD200" s="495"/>
      <c r="AE200" s="495"/>
      <c r="AF200" s="495"/>
    </row>
    <row r="201" spans="1:34" s="483" customFormat="1" ht="30.9">
      <c r="A201" s="502"/>
      <c r="B201" s="502"/>
      <c r="C201" s="502"/>
      <c r="D201" s="503"/>
      <c r="E201" s="662"/>
      <c r="F201" s="697"/>
      <c r="G201" s="3467"/>
      <c r="H201" s="3469"/>
      <c r="I201" s="3469"/>
      <c r="J201" s="3469"/>
      <c r="K201" s="3469"/>
      <c r="L201" s="643" t="s">
        <v>1207</v>
      </c>
      <c r="M201" s="689">
        <f>500*2*11</f>
        <v>11000</v>
      </c>
      <c r="N201" s="3471"/>
      <c r="O201" s="698"/>
      <c r="P201" s="699"/>
      <c r="Q201" s="699"/>
      <c r="R201" s="699"/>
      <c r="S201" s="689">
        <f t="shared" si="55"/>
        <v>11000</v>
      </c>
      <c r="T201" s="701"/>
      <c r="U201" s="701"/>
      <c r="V201" s="700"/>
      <c r="W201" s="700"/>
      <c r="X201" s="700"/>
      <c r="Y201" s="700"/>
      <c r="Z201" s="700"/>
      <c r="AA201" s="705"/>
      <c r="AB201" s="505"/>
      <c r="AC201" s="495"/>
      <c r="AD201" s="495"/>
      <c r="AE201" s="495"/>
      <c r="AF201" s="495"/>
    </row>
    <row r="202" spans="1:34" s="483" customFormat="1" ht="30.9">
      <c r="A202" s="485"/>
      <c r="B202" s="485"/>
      <c r="C202" s="485"/>
      <c r="D202" s="493"/>
      <c r="E202" s="541"/>
      <c r="F202" s="697"/>
      <c r="G202" s="3467"/>
      <c r="H202" s="3469"/>
      <c r="I202" s="3469"/>
      <c r="J202" s="3469"/>
      <c r="K202" s="3469"/>
      <c r="L202" s="686" t="s">
        <v>1208</v>
      </c>
      <c r="M202" s="691">
        <f>120*3*11</f>
        <v>3960</v>
      </c>
      <c r="N202" s="3471"/>
      <c r="O202" s="704"/>
      <c r="P202" s="609"/>
      <c r="Q202" s="609"/>
      <c r="R202" s="609"/>
      <c r="S202" s="689">
        <f t="shared" si="55"/>
        <v>3960</v>
      </c>
      <c r="T202" s="700"/>
      <c r="U202" s="701"/>
      <c r="V202" s="700"/>
      <c r="W202" s="700"/>
      <c r="X202" s="700"/>
      <c r="Y202" s="700"/>
      <c r="Z202" s="700"/>
      <c r="AA202" s="705"/>
      <c r="AB202" s="505"/>
      <c r="AC202" s="495"/>
      <c r="AD202" s="495"/>
      <c r="AE202" s="495"/>
      <c r="AF202" s="495"/>
    </row>
    <row r="203" spans="1:34" s="483" customFormat="1" ht="30.9">
      <c r="A203" s="485"/>
      <c r="B203" s="485"/>
      <c r="C203" s="485"/>
      <c r="D203" s="493"/>
      <c r="E203" s="706"/>
      <c r="F203" s="697"/>
      <c r="G203" s="3468"/>
      <c r="H203" s="3470"/>
      <c r="I203" s="3470"/>
      <c r="J203" s="3470"/>
      <c r="K203" s="3470"/>
      <c r="L203" s="686" t="s">
        <v>1209</v>
      </c>
      <c r="M203" s="691">
        <f>3532*5</f>
        <v>17660</v>
      </c>
      <c r="N203" s="3443"/>
      <c r="O203" s="609"/>
      <c r="P203" s="609"/>
      <c r="Q203" s="609"/>
      <c r="R203" s="609"/>
      <c r="S203" s="689">
        <f t="shared" si="55"/>
        <v>17660</v>
      </c>
      <c r="T203" s="700"/>
      <c r="U203" s="701"/>
      <c r="V203" s="700"/>
      <c r="W203" s="700"/>
      <c r="X203" s="700"/>
      <c r="Y203" s="700"/>
      <c r="Z203" s="700"/>
      <c r="AA203" s="705"/>
      <c r="AB203" s="505"/>
      <c r="AC203" s="495"/>
      <c r="AD203" s="495"/>
      <c r="AE203" s="495"/>
      <c r="AF203" s="495"/>
    </row>
    <row r="204" spans="1:34" s="447" customFormat="1" ht="20.05" customHeight="1">
      <c r="A204" s="462">
        <v>2</v>
      </c>
      <c r="B204" s="462">
        <v>6</v>
      </c>
      <c r="C204" s="462">
        <v>14</v>
      </c>
      <c r="D204" s="462">
        <v>37</v>
      </c>
      <c r="E204" s="463" t="s">
        <v>1210</v>
      </c>
      <c r="F204" s="463"/>
      <c r="G204" s="464"/>
      <c r="H204" s="465"/>
      <c r="I204" s="465"/>
      <c r="J204" s="465"/>
      <c r="K204" s="465"/>
      <c r="L204" s="465"/>
      <c r="M204" s="466"/>
      <c r="N204" s="466">
        <f>SUM(O204:Z204)</f>
        <v>160000</v>
      </c>
      <c r="O204" s="466">
        <f>SUM(O205)</f>
        <v>0</v>
      </c>
      <c r="P204" s="466">
        <f t="shared" ref="P204:Z204" si="56">SUM(P205)</f>
        <v>0</v>
      </c>
      <c r="Q204" s="466">
        <f t="shared" si="56"/>
        <v>0</v>
      </c>
      <c r="R204" s="466">
        <f t="shared" si="56"/>
        <v>0</v>
      </c>
      <c r="S204" s="466">
        <f t="shared" si="56"/>
        <v>0</v>
      </c>
      <c r="T204" s="466">
        <f t="shared" si="56"/>
        <v>0</v>
      </c>
      <c r="U204" s="466">
        <f t="shared" si="56"/>
        <v>0</v>
      </c>
      <c r="V204" s="466">
        <f t="shared" si="56"/>
        <v>0</v>
      </c>
      <c r="W204" s="466">
        <f t="shared" si="56"/>
        <v>0</v>
      </c>
      <c r="X204" s="466">
        <f t="shared" si="56"/>
        <v>0</v>
      </c>
      <c r="Y204" s="466">
        <f t="shared" si="56"/>
        <v>160000</v>
      </c>
      <c r="Z204" s="466">
        <f t="shared" si="56"/>
        <v>0</v>
      </c>
      <c r="AA204" s="465" t="s">
        <v>1241</v>
      </c>
      <c r="AB204" s="467" t="s">
        <v>1048</v>
      </c>
      <c r="AC204" s="469">
        <f>SUBTOTAL(9,O204:Q204)</f>
        <v>0</v>
      </c>
      <c r="AD204" s="469">
        <f>SUBTOTAL(9,R204:T204)</f>
        <v>0</v>
      </c>
      <c r="AE204" s="469">
        <f>SUBTOTAL(9,U204:W204)</f>
        <v>0</v>
      </c>
      <c r="AF204" s="469">
        <f>SUBTOTAL(9,X204:Z204)</f>
        <v>160000</v>
      </c>
      <c r="AG204" s="470">
        <f>AC204+AD204+AE204+AF204</f>
        <v>160000</v>
      </c>
      <c r="AH204" s="471">
        <f>N204-AG204</f>
        <v>0</v>
      </c>
    </row>
    <row r="205" spans="1:34" s="483" customFormat="1" ht="76.5" customHeight="1">
      <c r="A205" s="473"/>
      <c r="B205" s="473"/>
      <c r="C205" s="473"/>
      <c r="D205" s="490"/>
      <c r="E205" s="547"/>
      <c r="F205" s="661" t="s">
        <v>1211</v>
      </c>
      <c r="G205" s="661" t="s">
        <v>1212</v>
      </c>
      <c r="H205" s="473"/>
      <c r="I205" s="490"/>
      <c r="J205" s="473"/>
      <c r="K205" s="490" t="s">
        <v>239</v>
      </c>
      <c r="L205" s="592" t="s">
        <v>1213</v>
      </c>
      <c r="M205" s="518">
        <f>40000*4</f>
        <v>160000</v>
      </c>
      <c r="N205" s="504"/>
      <c r="O205" s="504"/>
      <c r="P205" s="504"/>
      <c r="Q205" s="504"/>
      <c r="R205" s="504"/>
      <c r="S205" s="504"/>
      <c r="T205" s="504"/>
      <c r="U205" s="504"/>
      <c r="V205" s="504"/>
      <c r="W205" s="504"/>
      <c r="X205" s="504"/>
      <c r="Y205" s="504">
        <f>M205</f>
        <v>160000</v>
      </c>
      <c r="Z205" s="504"/>
      <c r="AA205" s="569"/>
      <c r="AB205" s="505"/>
      <c r="AC205" s="495"/>
      <c r="AD205" s="495"/>
      <c r="AE205" s="495"/>
      <c r="AF205" s="495"/>
    </row>
    <row r="206" spans="1:34" s="447" customFormat="1" ht="20.05" customHeight="1">
      <c r="A206" s="462">
        <v>2</v>
      </c>
      <c r="B206" s="462">
        <v>6</v>
      </c>
      <c r="C206" s="462">
        <v>14</v>
      </c>
      <c r="D206" s="462">
        <v>38</v>
      </c>
      <c r="E206" s="463" t="s">
        <v>1214</v>
      </c>
      <c r="F206" s="463"/>
      <c r="G206" s="464"/>
      <c r="H206" s="465"/>
      <c r="I206" s="465"/>
      <c r="J206" s="465"/>
      <c r="K206" s="465"/>
      <c r="L206" s="465"/>
      <c r="M206" s="466"/>
      <c r="N206" s="466">
        <f>SUM(O206:Z206)</f>
        <v>19080</v>
      </c>
      <c r="O206" s="466">
        <f>SUM(O207:O210)</f>
        <v>9540</v>
      </c>
      <c r="P206" s="466">
        <f t="shared" ref="P206:Z206" si="57">SUM(P207:P210)</f>
        <v>0</v>
      </c>
      <c r="Q206" s="466">
        <f t="shared" si="57"/>
        <v>0</v>
      </c>
      <c r="R206" s="466">
        <f t="shared" si="57"/>
        <v>0</v>
      </c>
      <c r="S206" s="466">
        <f t="shared" si="57"/>
        <v>0</v>
      </c>
      <c r="T206" s="466">
        <f t="shared" si="57"/>
        <v>9540</v>
      </c>
      <c r="U206" s="466">
        <f t="shared" si="57"/>
        <v>0</v>
      </c>
      <c r="V206" s="466">
        <f t="shared" si="57"/>
        <v>0</v>
      </c>
      <c r="W206" s="466">
        <f t="shared" si="57"/>
        <v>0</v>
      </c>
      <c r="X206" s="466">
        <f t="shared" si="57"/>
        <v>0</v>
      </c>
      <c r="Y206" s="466">
        <f t="shared" si="57"/>
        <v>0</v>
      </c>
      <c r="Z206" s="466">
        <f t="shared" si="57"/>
        <v>0</v>
      </c>
      <c r="AA206" s="465" t="s">
        <v>1241</v>
      </c>
      <c r="AB206" s="467" t="s">
        <v>1048</v>
      </c>
      <c r="AC206" s="469">
        <f>SUBTOTAL(9,O206:Q206)</f>
        <v>9540</v>
      </c>
      <c r="AD206" s="469">
        <f>SUBTOTAL(9,R206:T206)</f>
        <v>9540</v>
      </c>
      <c r="AE206" s="469">
        <f>SUBTOTAL(9,U206:W206)</f>
        <v>0</v>
      </c>
      <c r="AF206" s="469">
        <f>SUBTOTAL(9,X206:Z206)</f>
        <v>0</v>
      </c>
      <c r="AG206" s="470">
        <f>AC206+AD206+AE206+AF206</f>
        <v>19080</v>
      </c>
      <c r="AH206" s="471">
        <f>N206-AG206</f>
        <v>0</v>
      </c>
    </row>
    <row r="207" spans="1:34" s="711" customFormat="1" ht="30.9">
      <c r="A207" s="707"/>
      <c r="B207" s="707"/>
      <c r="C207" s="707"/>
      <c r="D207" s="707"/>
      <c r="E207" s="708"/>
      <c r="F207" s="3452" t="s">
        <v>1215</v>
      </c>
      <c r="G207" s="3452" t="s">
        <v>1216</v>
      </c>
      <c r="H207" s="477" t="s">
        <v>768</v>
      </c>
      <c r="I207" s="477" t="s">
        <v>768</v>
      </c>
      <c r="J207" s="605"/>
      <c r="K207" s="474"/>
      <c r="L207" s="709" t="s">
        <v>1217</v>
      </c>
      <c r="M207" s="518">
        <f>240*2*2*2</f>
        <v>1920</v>
      </c>
      <c r="N207" s="518"/>
      <c r="O207" s="518">
        <f t="shared" ref="O207:O210" si="58">M207/2</f>
        <v>960</v>
      </c>
      <c r="P207" s="518"/>
      <c r="Q207" s="518"/>
      <c r="R207" s="518"/>
      <c r="S207" s="518"/>
      <c r="T207" s="518">
        <f t="shared" ref="T207:T210" si="59">O207</f>
        <v>960</v>
      </c>
      <c r="U207" s="518"/>
      <c r="V207" s="518"/>
      <c r="W207" s="518"/>
      <c r="X207" s="518"/>
      <c r="Y207" s="518"/>
      <c r="Z207" s="518"/>
      <c r="AA207" s="526"/>
      <c r="AB207" s="481"/>
      <c r="AC207" s="710"/>
      <c r="AD207" s="710"/>
      <c r="AE207" s="710"/>
      <c r="AF207" s="710"/>
    </row>
    <row r="208" spans="1:34" s="711" customFormat="1" ht="20.6">
      <c r="A208" s="712"/>
      <c r="B208" s="712"/>
      <c r="C208" s="712"/>
      <c r="D208" s="712"/>
      <c r="E208" s="667"/>
      <c r="F208" s="3453"/>
      <c r="G208" s="3453"/>
      <c r="H208" s="667"/>
      <c r="I208" s="666"/>
      <c r="J208" s="667"/>
      <c r="K208" s="666"/>
      <c r="L208" s="709" t="s">
        <v>1218</v>
      </c>
      <c r="M208" s="518">
        <f>120*2*9</f>
        <v>2160</v>
      </c>
      <c r="N208" s="518"/>
      <c r="O208" s="518">
        <f t="shared" si="58"/>
        <v>1080</v>
      </c>
      <c r="P208" s="518"/>
      <c r="Q208" s="518"/>
      <c r="R208" s="518"/>
      <c r="S208" s="518"/>
      <c r="T208" s="518">
        <f t="shared" si="59"/>
        <v>1080</v>
      </c>
      <c r="U208" s="518"/>
      <c r="V208" s="518"/>
      <c r="W208" s="518"/>
      <c r="X208" s="518"/>
      <c r="Y208" s="518"/>
      <c r="Z208" s="518"/>
      <c r="AA208" s="526"/>
      <c r="AB208" s="481"/>
      <c r="AC208" s="710"/>
      <c r="AD208" s="710"/>
      <c r="AE208" s="710"/>
      <c r="AF208" s="710"/>
    </row>
    <row r="209" spans="1:34" s="711" customFormat="1" ht="20.6">
      <c r="A209" s="712"/>
      <c r="B209" s="712"/>
      <c r="C209" s="712"/>
      <c r="D209" s="712"/>
      <c r="E209" s="713"/>
      <c r="F209" s="3453"/>
      <c r="G209" s="3453"/>
      <c r="H209" s="713"/>
      <c r="I209" s="714"/>
      <c r="J209" s="713"/>
      <c r="K209" s="714"/>
      <c r="L209" s="709" t="s">
        <v>1219</v>
      </c>
      <c r="M209" s="518">
        <f>1500*2</f>
        <v>3000</v>
      </c>
      <c r="N209" s="518"/>
      <c r="O209" s="518">
        <f t="shared" si="58"/>
        <v>1500</v>
      </c>
      <c r="P209" s="518"/>
      <c r="Q209" s="518"/>
      <c r="R209" s="518"/>
      <c r="S209" s="518"/>
      <c r="T209" s="518">
        <f t="shared" si="59"/>
        <v>1500</v>
      </c>
      <c r="U209" s="518"/>
      <c r="V209" s="518"/>
      <c r="W209" s="518"/>
      <c r="X209" s="518"/>
      <c r="Y209" s="518"/>
      <c r="Z209" s="518"/>
      <c r="AA209" s="715"/>
      <c r="AB209" s="716"/>
      <c r="AC209" s="710"/>
      <c r="AD209" s="710"/>
      <c r="AE209" s="710"/>
      <c r="AF209" s="710"/>
    </row>
    <row r="210" spans="1:34" s="711" customFormat="1" ht="61.75">
      <c r="A210" s="717"/>
      <c r="B210" s="717"/>
      <c r="C210" s="717"/>
      <c r="D210" s="717"/>
      <c r="E210" s="718"/>
      <c r="F210" s="3454"/>
      <c r="G210" s="3454"/>
      <c r="H210" s="579"/>
      <c r="I210" s="486"/>
      <c r="J210" s="486"/>
      <c r="K210" s="486"/>
      <c r="L210" s="709" t="s">
        <v>1220</v>
      </c>
      <c r="M210" s="518">
        <f>6000*2</f>
        <v>12000</v>
      </c>
      <c r="N210" s="518"/>
      <c r="O210" s="518">
        <f t="shared" si="58"/>
        <v>6000</v>
      </c>
      <c r="P210" s="518"/>
      <c r="Q210" s="518"/>
      <c r="R210" s="518"/>
      <c r="S210" s="518"/>
      <c r="T210" s="518">
        <f t="shared" si="59"/>
        <v>6000</v>
      </c>
      <c r="U210" s="518"/>
      <c r="V210" s="518"/>
      <c r="W210" s="518"/>
      <c r="X210" s="518"/>
      <c r="Y210" s="518"/>
      <c r="Z210" s="518"/>
      <c r="AA210" s="526"/>
      <c r="AB210" s="481"/>
      <c r="AC210" s="710"/>
      <c r="AD210" s="710"/>
      <c r="AE210" s="710"/>
      <c r="AF210" s="710"/>
    </row>
    <row r="211" spans="1:34" s="447" customFormat="1" ht="20.05" customHeight="1">
      <c r="A211" s="462"/>
      <c r="B211" s="462"/>
      <c r="C211" s="462"/>
      <c r="D211" s="462">
        <v>39</v>
      </c>
      <c r="E211" s="463" t="s">
        <v>1221</v>
      </c>
      <c r="F211" s="463"/>
      <c r="G211" s="464"/>
      <c r="H211" s="465"/>
      <c r="I211" s="465"/>
      <c r="J211" s="465"/>
      <c r="K211" s="465"/>
      <c r="L211" s="465"/>
      <c r="M211" s="466"/>
      <c r="N211" s="466">
        <f>SUM(M212:M223)</f>
        <v>187160</v>
      </c>
      <c r="O211" s="466">
        <f t="shared" ref="O211:Z211" si="60">SUM(O212:O223)</f>
        <v>0</v>
      </c>
      <c r="P211" s="466">
        <f t="shared" si="60"/>
        <v>0</v>
      </c>
      <c r="Q211" s="467">
        <f t="shared" si="60"/>
        <v>33600</v>
      </c>
      <c r="R211" s="467">
        <f t="shared" si="60"/>
        <v>0</v>
      </c>
      <c r="S211" s="467">
        <f t="shared" si="60"/>
        <v>53560</v>
      </c>
      <c r="T211" s="467">
        <f t="shared" si="60"/>
        <v>0</v>
      </c>
      <c r="U211" s="467">
        <f t="shared" si="60"/>
        <v>100000</v>
      </c>
      <c r="V211" s="467">
        <f t="shared" si="60"/>
        <v>0</v>
      </c>
      <c r="W211" s="467">
        <f t="shared" si="60"/>
        <v>0</v>
      </c>
      <c r="X211" s="467">
        <f t="shared" si="60"/>
        <v>0</v>
      </c>
      <c r="Y211" s="467">
        <f t="shared" si="60"/>
        <v>0</v>
      </c>
      <c r="Z211" s="467">
        <f t="shared" si="60"/>
        <v>0</v>
      </c>
      <c r="AA211" s="465" t="s">
        <v>1241</v>
      </c>
      <c r="AB211" s="467" t="s">
        <v>1048</v>
      </c>
      <c r="AC211" s="469">
        <f>SUBTOTAL(9,O211:Q211)</f>
        <v>33600</v>
      </c>
      <c r="AD211" s="469">
        <f>SUBTOTAL(9,R211:T211)</f>
        <v>53560</v>
      </c>
      <c r="AE211" s="469">
        <f>SUBTOTAL(9,U211:W211)</f>
        <v>100000</v>
      </c>
      <c r="AF211" s="469">
        <f>SUBTOTAL(9,X211:Z211)</f>
        <v>0</v>
      </c>
      <c r="AG211" s="470">
        <f>AC211+AD211+AE211+AF211</f>
        <v>187160</v>
      </c>
      <c r="AH211" s="471">
        <f>N211-AG211</f>
        <v>0</v>
      </c>
    </row>
    <row r="212" spans="1:34" s="621" customFormat="1" ht="102.9">
      <c r="A212" s="719"/>
      <c r="B212" s="719"/>
      <c r="C212" s="719"/>
      <c r="D212" s="720"/>
      <c r="E212" s="697" t="s">
        <v>1222</v>
      </c>
      <c r="F212" s="721" t="s">
        <v>1223</v>
      </c>
      <c r="G212" s="722" t="s">
        <v>1224</v>
      </c>
      <c r="H212" s="723" t="s">
        <v>239</v>
      </c>
      <c r="I212" s="723"/>
      <c r="J212" s="723"/>
      <c r="K212" s="723"/>
      <c r="L212" s="724"/>
      <c r="M212" s="725"/>
      <c r="N212" s="726"/>
      <c r="O212" s="727"/>
      <c r="P212" s="728"/>
      <c r="Q212" s="727"/>
      <c r="R212" s="727"/>
      <c r="S212" s="727"/>
      <c r="T212" s="727"/>
      <c r="U212" s="727"/>
      <c r="V212" s="727"/>
      <c r="W212" s="727"/>
      <c r="X212" s="727"/>
      <c r="Y212" s="727"/>
      <c r="Z212" s="727"/>
      <c r="AA212" s="729"/>
      <c r="AB212" s="727"/>
      <c r="AC212" s="623"/>
      <c r="AD212" s="624"/>
      <c r="AE212" s="624"/>
      <c r="AF212" s="624"/>
    </row>
    <row r="213" spans="1:34" s="621" customFormat="1" ht="83.05" customHeight="1">
      <c r="A213" s="719"/>
      <c r="B213" s="719"/>
      <c r="C213" s="719"/>
      <c r="D213" s="720"/>
      <c r="E213" s="730"/>
      <c r="F213" s="731" t="s">
        <v>1225</v>
      </c>
      <c r="G213" s="724" t="s">
        <v>1226</v>
      </c>
      <c r="H213" s="723" t="s">
        <v>239</v>
      </c>
      <c r="I213" s="723"/>
      <c r="J213" s="723"/>
      <c r="K213" s="723"/>
      <c r="L213" s="724" t="s">
        <v>1227</v>
      </c>
      <c r="M213" s="725">
        <f>7*8*600</f>
        <v>33600</v>
      </c>
      <c r="N213" s="732"/>
      <c r="O213" s="652"/>
      <c r="P213" s="727"/>
      <c r="Q213" s="733">
        <f>M213</f>
        <v>33600</v>
      </c>
      <c r="R213" s="733"/>
      <c r="S213" s="733"/>
      <c r="T213" s="733"/>
      <c r="U213" s="733"/>
      <c r="V213" s="733"/>
      <c r="W213" s="733"/>
      <c r="X213" s="733"/>
      <c r="Y213" s="733"/>
      <c r="Z213" s="733"/>
      <c r="AA213" s="652"/>
      <c r="AB213" s="727"/>
      <c r="AC213" s="623"/>
      <c r="AD213" s="624"/>
      <c r="AE213" s="624"/>
      <c r="AF213" s="624"/>
    </row>
    <row r="214" spans="1:34" s="621" customFormat="1" ht="20.6">
      <c r="A214" s="719"/>
      <c r="B214" s="719"/>
      <c r="C214" s="719"/>
      <c r="D214" s="720"/>
      <c r="E214" s="730"/>
      <c r="F214" s="3455" t="s">
        <v>1228</v>
      </c>
      <c r="G214" s="3457" t="s">
        <v>1229</v>
      </c>
      <c r="H214" s="723"/>
      <c r="I214" s="723"/>
      <c r="J214" s="723"/>
      <c r="K214" s="723"/>
      <c r="L214" s="724" t="s">
        <v>1230</v>
      </c>
      <c r="M214" s="725">
        <v>9600</v>
      </c>
      <c r="N214" s="3459"/>
      <c r="O214" s="727"/>
      <c r="P214" s="727"/>
      <c r="Q214" s="733"/>
      <c r="R214" s="733"/>
      <c r="S214" s="733">
        <f t="shared" ref="S214:S218" si="61">M214</f>
        <v>9600</v>
      </c>
      <c r="T214" s="733"/>
      <c r="U214" s="733"/>
      <c r="V214" s="733"/>
      <c r="W214" s="733"/>
      <c r="X214" s="733"/>
      <c r="Y214" s="733"/>
      <c r="Z214" s="733"/>
      <c r="AA214" s="734"/>
      <c r="AB214" s="727"/>
      <c r="AC214" s="623"/>
      <c r="AD214" s="624"/>
      <c r="AE214" s="624"/>
      <c r="AF214" s="624"/>
    </row>
    <row r="215" spans="1:34" s="621" customFormat="1" ht="30.9">
      <c r="A215" s="719"/>
      <c r="B215" s="719"/>
      <c r="C215" s="719"/>
      <c r="D215" s="720"/>
      <c r="E215" s="730"/>
      <c r="F215" s="3456"/>
      <c r="G215" s="3458"/>
      <c r="H215" s="723"/>
      <c r="I215" s="723"/>
      <c r="J215" s="723"/>
      <c r="K215" s="723"/>
      <c r="L215" s="724" t="s">
        <v>1231</v>
      </c>
      <c r="M215" s="725">
        <v>24000</v>
      </c>
      <c r="N215" s="3460"/>
      <c r="O215" s="727"/>
      <c r="P215" s="727"/>
      <c r="Q215" s="733"/>
      <c r="R215" s="733"/>
      <c r="S215" s="733">
        <f t="shared" si="61"/>
        <v>24000</v>
      </c>
      <c r="T215" s="733"/>
      <c r="U215" s="733"/>
      <c r="V215" s="733"/>
      <c r="W215" s="733"/>
      <c r="X215" s="733"/>
      <c r="Y215" s="733"/>
      <c r="Z215" s="733"/>
      <c r="AA215" s="734"/>
      <c r="AB215" s="727"/>
      <c r="AC215" s="735"/>
      <c r="AD215" s="624"/>
      <c r="AE215" s="624"/>
      <c r="AF215" s="624"/>
    </row>
    <row r="216" spans="1:34" s="621" customFormat="1" ht="20.6">
      <c r="A216" s="719"/>
      <c r="B216" s="719"/>
      <c r="C216" s="719"/>
      <c r="D216" s="720"/>
      <c r="E216" s="730"/>
      <c r="F216" s="3456"/>
      <c r="G216" s="3458"/>
      <c r="H216" s="723"/>
      <c r="I216" s="723"/>
      <c r="J216" s="723"/>
      <c r="K216" s="723"/>
      <c r="L216" s="724" t="s">
        <v>1232</v>
      </c>
      <c r="M216" s="725">
        <v>4320</v>
      </c>
      <c r="N216" s="3460"/>
      <c r="O216" s="727"/>
      <c r="P216" s="727"/>
      <c r="Q216" s="733"/>
      <c r="R216" s="733"/>
      <c r="S216" s="733">
        <f t="shared" si="61"/>
        <v>4320</v>
      </c>
      <c r="T216" s="733"/>
      <c r="U216" s="733"/>
      <c r="V216" s="733"/>
      <c r="W216" s="733"/>
      <c r="X216" s="733"/>
      <c r="Y216" s="733"/>
      <c r="Z216" s="733"/>
      <c r="AA216" s="734"/>
      <c r="AB216" s="727"/>
      <c r="AC216" s="735"/>
      <c r="AD216" s="624"/>
      <c r="AE216" s="624"/>
      <c r="AF216" s="624"/>
    </row>
    <row r="217" spans="1:34" s="621" customFormat="1" ht="20.6">
      <c r="A217" s="719"/>
      <c r="B217" s="719"/>
      <c r="C217" s="719"/>
      <c r="D217" s="3462"/>
      <c r="E217" s="730"/>
      <c r="F217" s="3456"/>
      <c r="G217" s="3458"/>
      <c r="H217" s="723"/>
      <c r="I217" s="723" t="s">
        <v>239</v>
      </c>
      <c r="J217" s="723"/>
      <c r="K217" s="723"/>
      <c r="L217" s="724" t="s">
        <v>1233</v>
      </c>
      <c r="M217" s="725">
        <v>8640</v>
      </c>
      <c r="N217" s="3460"/>
      <c r="O217" s="652"/>
      <c r="P217" s="727"/>
      <c r="Q217" s="728"/>
      <c r="R217" s="727"/>
      <c r="S217" s="727">
        <f t="shared" si="61"/>
        <v>8640</v>
      </c>
      <c r="T217" s="727"/>
      <c r="U217" s="727"/>
      <c r="V217" s="727"/>
      <c r="W217" s="727"/>
      <c r="X217" s="727"/>
      <c r="Y217" s="727"/>
      <c r="Z217" s="727"/>
      <c r="AA217" s="736"/>
      <c r="AB217" s="723"/>
      <c r="AC217" s="3472"/>
      <c r="AD217" s="624"/>
      <c r="AE217" s="624"/>
      <c r="AF217" s="624"/>
    </row>
    <row r="218" spans="1:34" s="621" customFormat="1" ht="41.15">
      <c r="A218" s="719"/>
      <c r="B218" s="719"/>
      <c r="C218" s="719"/>
      <c r="D218" s="3462"/>
      <c r="E218" s="730"/>
      <c r="F218" s="3456"/>
      <c r="G218" s="3458"/>
      <c r="H218" s="723"/>
      <c r="I218" s="723"/>
      <c r="J218" s="723"/>
      <c r="K218" s="723"/>
      <c r="L218" s="724" t="s">
        <v>1234</v>
      </c>
      <c r="M218" s="725">
        <v>7000</v>
      </c>
      <c r="N218" s="3461"/>
      <c r="O218" s="727"/>
      <c r="P218" s="728"/>
      <c r="Q218" s="727"/>
      <c r="R218" s="727"/>
      <c r="S218" s="727">
        <f t="shared" si="61"/>
        <v>7000</v>
      </c>
      <c r="T218" s="727"/>
      <c r="U218" s="727"/>
      <c r="V218" s="727"/>
      <c r="W218" s="727"/>
      <c r="X218" s="727"/>
      <c r="Y218" s="727"/>
      <c r="Z218" s="727"/>
      <c r="AA218" s="728"/>
      <c r="AB218" s="723"/>
      <c r="AC218" s="3472"/>
      <c r="AD218" s="624"/>
      <c r="AE218" s="624"/>
      <c r="AF218" s="624"/>
    </row>
    <row r="219" spans="1:34" s="621" customFormat="1" ht="20.6">
      <c r="A219" s="719"/>
      <c r="B219" s="719"/>
      <c r="C219" s="719"/>
      <c r="D219" s="3462"/>
      <c r="E219" s="730"/>
      <c r="F219" s="3473" t="s">
        <v>1235</v>
      </c>
      <c r="G219" s="3474" t="s">
        <v>1236</v>
      </c>
      <c r="H219" s="731"/>
      <c r="I219" s="724"/>
      <c r="J219" s="724" t="s">
        <v>239</v>
      </c>
      <c r="K219" s="724" t="s">
        <v>239</v>
      </c>
      <c r="L219" s="724" t="s">
        <v>1237</v>
      </c>
      <c r="M219" s="737">
        <f>1600*2*6</f>
        <v>19200</v>
      </c>
      <c r="N219" s="3475"/>
      <c r="O219" s="727"/>
      <c r="P219" s="728"/>
      <c r="Q219" s="727"/>
      <c r="R219" s="727"/>
      <c r="S219" s="727"/>
      <c r="T219" s="727"/>
      <c r="U219" s="727">
        <f>M219</f>
        <v>19200</v>
      </c>
      <c r="V219" s="727"/>
      <c r="W219" s="727"/>
      <c r="X219" s="727"/>
      <c r="Y219" s="727"/>
      <c r="Z219" s="727"/>
      <c r="AA219" s="728"/>
      <c r="AB219" s="723"/>
      <c r="AC219" s="3472"/>
      <c r="AD219" s="624"/>
      <c r="AE219" s="624"/>
      <c r="AF219" s="624"/>
    </row>
    <row r="220" spans="1:34" s="621" customFormat="1" ht="30.9">
      <c r="A220" s="719"/>
      <c r="B220" s="719"/>
      <c r="C220" s="719"/>
      <c r="D220" s="3462"/>
      <c r="E220" s="730"/>
      <c r="F220" s="3473"/>
      <c r="G220" s="3474"/>
      <c r="H220" s="731"/>
      <c r="I220" s="724"/>
      <c r="J220" s="724"/>
      <c r="K220" s="724"/>
      <c r="L220" s="724" t="s">
        <v>1238</v>
      </c>
      <c r="M220" s="737">
        <f>500*2*5*6</f>
        <v>30000</v>
      </c>
      <c r="N220" s="3476"/>
      <c r="O220" s="727"/>
      <c r="P220" s="728"/>
      <c r="Q220" s="727"/>
      <c r="R220" s="727"/>
      <c r="S220" s="727"/>
      <c r="T220" s="727"/>
      <c r="U220" s="727">
        <f>M220</f>
        <v>30000</v>
      </c>
      <c r="V220" s="727"/>
      <c r="W220" s="727"/>
      <c r="X220" s="727"/>
      <c r="Y220" s="727"/>
      <c r="Z220" s="727"/>
      <c r="AA220" s="728"/>
      <c r="AB220" s="723"/>
      <c r="AC220" s="3472"/>
      <c r="AD220" s="624"/>
      <c r="AE220" s="624"/>
      <c r="AF220" s="624"/>
    </row>
    <row r="221" spans="1:34" s="621" customFormat="1" ht="20.6">
      <c r="A221" s="719"/>
      <c r="B221" s="719"/>
      <c r="C221" s="719"/>
      <c r="D221" s="3462"/>
      <c r="E221" s="730"/>
      <c r="F221" s="3473"/>
      <c r="G221" s="3474"/>
      <c r="H221" s="731"/>
      <c r="I221" s="724"/>
      <c r="J221" s="724"/>
      <c r="K221" s="724"/>
      <c r="L221" s="724" t="s">
        <v>1239</v>
      </c>
      <c r="M221" s="737">
        <f>240*2*3*6</f>
        <v>8640</v>
      </c>
      <c r="N221" s="3476"/>
      <c r="O221" s="727"/>
      <c r="P221" s="728"/>
      <c r="Q221" s="727"/>
      <c r="R221" s="727"/>
      <c r="S221" s="727"/>
      <c r="T221" s="727"/>
      <c r="U221" s="727">
        <f>M221</f>
        <v>8640</v>
      </c>
      <c r="V221" s="727"/>
      <c r="W221" s="727"/>
      <c r="X221" s="727"/>
      <c r="Y221" s="727"/>
      <c r="Z221" s="727"/>
      <c r="AA221" s="728"/>
      <c r="AB221" s="723"/>
      <c r="AC221" s="3472"/>
      <c r="AD221" s="624"/>
      <c r="AE221" s="624"/>
      <c r="AF221" s="624"/>
    </row>
    <row r="222" spans="1:34" s="621" customFormat="1" ht="30.9">
      <c r="A222" s="719"/>
      <c r="B222" s="719"/>
      <c r="C222" s="719"/>
      <c r="D222" s="720"/>
      <c r="E222" s="730"/>
      <c r="F222" s="3473"/>
      <c r="G222" s="3474"/>
      <c r="H222" s="731"/>
      <c r="I222" s="724"/>
      <c r="J222" s="672"/>
      <c r="K222" s="738"/>
      <c r="L222" s="724" t="s">
        <v>1240</v>
      </c>
      <c r="M222" s="737">
        <f>120*5*3*6</f>
        <v>10800</v>
      </c>
      <c r="N222" s="3476"/>
      <c r="O222" s="727"/>
      <c r="P222" s="652"/>
      <c r="Q222" s="652"/>
      <c r="R222" s="652"/>
      <c r="S222" s="652"/>
      <c r="T222" s="652"/>
      <c r="U222" s="652">
        <f>M222</f>
        <v>10800</v>
      </c>
      <c r="V222" s="734"/>
      <c r="W222" s="734"/>
      <c r="X222" s="734"/>
      <c r="Y222" s="734"/>
      <c r="Z222" s="734"/>
      <c r="AA222" s="723" t="s">
        <v>1241</v>
      </c>
      <c r="AB222" s="739" t="s">
        <v>724</v>
      </c>
      <c r="AC222" s="738"/>
      <c r="AD222" s="624"/>
      <c r="AE222" s="624"/>
      <c r="AF222" s="624"/>
    </row>
    <row r="223" spans="1:34" s="621" customFormat="1" ht="41.15">
      <c r="A223" s="740"/>
      <c r="B223" s="740"/>
      <c r="C223" s="740"/>
      <c r="D223" s="741"/>
      <c r="E223" s="742"/>
      <c r="F223" s="3473"/>
      <c r="G223" s="3474"/>
      <c r="H223" s="731"/>
      <c r="I223" s="724"/>
      <c r="J223" s="724"/>
      <c r="K223" s="724"/>
      <c r="L223" s="649" t="s">
        <v>1242</v>
      </c>
      <c r="M223" s="737">
        <v>31360</v>
      </c>
      <c r="N223" s="3477"/>
      <c r="O223" s="727"/>
      <c r="P223" s="652"/>
      <c r="Q223" s="652"/>
      <c r="R223" s="652"/>
      <c r="S223" s="652"/>
      <c r="T223" s="652"/>
      <c r="U223" s="652">
        <f>M223</f>
        <v>31360</v>
      </c>
      <c r="V223" s="734"/>
      <c r="W223" s="734"/>
      <c r="X223" s="734"/>
      <c r="Y223" s="734"/>
      <c r="Z223" s="734"/>
      <c r="AA223" s="723"/>
      <c r="AB223" s="743"/>
      <c r="AC223" s="738"/>
      <c r="AD223" s="624"/>
      <c r="AE223" s="624"/>
      <c r="AF223" s="624"/>
    </row>
    <row r="224" spans="1:34" s="447" customFormat="1" ht="20.05" customHeight="1">
      <c r="A224" s="462"/>
      <c r="B224" s="462"/>
      <c r="C224" s="462"/>
      <c r="D224" s="462">
        <v>40</v>
      </c>
      <c r="E224" s="463" t="s">
        <v>1243</v>
      </c>
      <c r="F224" s="463"/>
      <c r="G224" s="464"/>
      <c r="H224" s="465"/>
      <c r="I224" s="465"/>
      <c r="J224" s="465"/>
      <c r="K224" s="465"/>
      <c r="L224" s="465"/>
      <c r="M224" s="466"/>
      <c r="N224" s="466">
        <f>SUM(M225:M268)</f>
        <v>970000</v>
      </c>
      <c r="O224" s="466">
        <f>SUM(O225:O268)</f>
        <v>0</v>
      </c>
      <c r="P224" s="466">
        <f t="shared" ref="P224:Z224" si="62">SUM(P225:P268)</f>
        <v>109100</v>
      </c>
      <c r="Q224" s="466">
        <f t="shared" si="62"/>
        <v>28750</v>
      </c>
      <c r="R224" s="466">
        <f t="shared" si="62"/>
        <v>13750</v>
      </c>
      <c r="S224" s="466">
        <f t="shared" si="62"/>
        <v>263750</v>
      </c>
      <c r="T224" s="466">
        <f t="shared" si="62"/>
        <v>18750</v>
      </c>
      <c r="U224" s="466">
        <f t="shared" si="62"/>
        <v>132150</v>
      </c>
      <c r="V224" s="466">
        <f t="shared" si="62"/>
        <v>216400</v>
      </c>
      <c r="W224" s="466">
        <f t="shared" si="62"/>
        <v>18750</v>
      </c>
      <c r="X224" s="466">
        <f t="shared" si="62"/>
        <v>96750</v>
      </c>
      <c r="Y224" s="466">
        <f t="shared" si="62"/>
        <v>56850</v>
      </c>
      <c r="Z224" s="466">
        <f t="shared" si="62"/>
        <v>15000</v>
      </c>
      <c r="AA224" s="465" t="s">
        <v>1241</v>
      </c>
      <c r="AB224" s="467" t="s">
        <v>1244</v>
      </c>
      <c r="AC224" s="469">
        <f>SUBTOTAL(9,O224:Q224)</f>
        <v>137850</v>
      </c>
      <c r="AD224" s="469">
        <f>SUBTOTAL(9,R224:T224)</f>
        <v>296250</v>
      </c>
      <c r="AE224" s="469">
        <f>SUBTOTAL(9,U224:W224)</f>
        <v>367300</v>
      </c>
      <c r="AF224" s="469">
        <f>SUBTOTAL(9,X224:Z224)</f>
        <v>168600</v>
      </c>
      <c r="AG224" s="470">
        <f>AC224+AD224+AE224+AF224</f>
        <v>970000</v>
      </c>
      <c r="AH224" s="471">
        <f>N224-AG224</f>
        <v>0</v>
      </c>
    </row>
    <row r="225" spans="1:32" ht="30.9">
      <c r="A225" s="555"/>
      <c r="B225" s="555"/>
      <c r="C225" s="3478"/>
      <c r="D225" s="3481"/>
      <c r="E225" s="3482" t="s">
        <v>1245</v>
      </c>
      <c r="F225" s="3379" t="s">
        <v>1246</v>
      </c>
      <c r="G225" s="3379" t="s">
        <v>1247</v>
      </c>
      <c r="H225" s="3379" t="s">
        <v>239</v>
      </c>
      <c r="I225" s="3379" t="s">
        <v>239</v>
      </c>
      <c r="J225" s="3379" t="s">
        <v>239</v>
      </c>
      <c r="K225" s="3379"/>
      <c r="L225" s="500" t="s">
        <v>1248</v>
      </c>
      <c r="M225" s="459">
        <f>1200*3</f>
        <v>3600</v>
      </c>
      <c r="N225" s="3488"/>
      <c r="O225" s="3374"/>
      <c r="P225" s="3374">
        <v>28300</v>
      </c>
      <c r="Q225" s="3374"/>
      <c r="R225" s="3374"/>
      <c r="S225" s="3374">
        <v>28300</v>
      </c>
      <c r="T225" s="3374"/>
      <c r="U225" s="3374"/>
      <c r="V225" s="3374">
        <v>28300</v>
      </c>
      <c r="W225" s="3374"/>
      <c r="X225" s="3374"/>
      <c r="Y225" s="3374"/>
      <c r="Z225" s="3374"/>
      <c r="AA225" s="3379" t="s">
        <v>1241</v>
      </c>
      <c r="AB225" s="3485" t="s">
        <v>1244</v>
      </c>
      <c r="AC225" s="576"/>
      <c r="AD225" s="576"/>
      <c r="AE225" s="576"/>
      <c r="AF225" s="576"/>
    </row>
    <row r="226" spans="1:32" ht="30.9">
      <c r="A226" s="515"/>
      <c r="B226" s="515"/>
      <c r="C226" s="3479"/>
      <c r="D226" s="3389"/>
      <c r="E226" s="3483"/>
      <c r="F226" s="3390"/>
      <c r="G226" s="3390"/>
      <c r="H226" s="3390"/>
      <c r="I226" s="3390"/>
      <c r="J226" s="3390"/>
      <c r="K226" s="3390"/>
      <c r="L226" s="500" t="s">
        <v>1249</v>
      </c>
      <c r="M226" s="459">
        <f>1000*3</f>
        <v>3000</v>
      </c>
      <c r="N226" s="3489"/>
      <c r="O226" s="3375"/>
      <c r="P226" s="3375"/>
      <c r="Q226" s="3375"/>
      <c r="R226" s="3375"/>
      <c r="S226" s="3375"/>
      <c r="T226" s="3375"/>
      <c r="U226" s="3375"/>
      <c r="V226" s="3375"/>
      <c r="W226" s="3375"/>
      <c r="X226" s="3375"/>
      <c r="Y226" s="3375"/>
      <c r="Z226" s="3375"/>
      <c r="AA226" s="3390"/>
      <c r="AB226" s="3486"/>
      <c r="AC226" s="576"/>
      <c r="AD226" s="576"/>
      <c r="AE226" s="576"/>
      <c r="AF226" s="576"/>
    </row>
    <row r="227" spans="1:32" ht="30.9">
      <c r="A227" s="515"/>
      <c r="B227" s="515"/>
      <c r="C227" s="3479"/>
      <c r="D227" s="3389"/>
      <c r="E227" s="3483"/>
      <c r="F227" s="3390"/>
      <c r="G227" s="3390"/>
      <c r="H227" s="3390"/>
      <c r="I227" s="3390"/>
      <c r="J227" s="3390"/>
      <c r="K227" s="3390"/>
      <c r="L227" s="500" t="s">
        <v>1250</v>
      </c>
      <c r="M227" s="459">
        <f>1000*20*3</f>
        <v>60000</v>
      </c>
      <c r="N227" s="3489"/>
      <c r="O227" s="3375"/>
      <c r="P227" s="3375"/>
      <c r="Q227" s="3375"/>
      <c r="R227" s="3375"/>
      <c r="S227" s="3375"/>
      <c r="T227" s="3375"/>
      <c r="U227" s="3375"/>
      <c r="V227" s="3375"/>
      <c r="W227" s="3375"/>
      <c r="X227" s="3375"/>
      <c r="Y227" s="3375"/>
      <c r="Z227" s="3375"/>
      <c r="AA227" s="3390"/>
      <c r="AB227" s="3486"/>
      <c r="AC227" s="576"/>
      <c r="AD227" s="576"/>
      <c r="AE227" s="576"/>
      <c r="AF227" s="576"/>
    </row>
    <row r="228" spans="1:32" ht="30.9">
      <c r="A228" s="515"/>
      <c r="B228" s="515"/>
      <c r="C228" s="3479"/>
      <c r="D228" s="3389"/>
      <c r="E228" s="3483"/>
      <c r="F228" s="3390"/>
      <c r="G228" s="3390"/>
      <c r="H228" s="3390"/>
      <c r="I228" s="3390"/>
      <c r="J228" s="3390"/>
      <c r="K228" s="3390"/>
      <c r="L228" s="500" t="s">
        <v>1251</v>
      </c>
      <c r="M228" s="459">
        <f>800*2*3</f>
        <v>4800</v>
      </c>
      <c r="N228" s="3489"/>
      <c r="O228" s="3375"/>
      <c r="P228" s="3375"/>
      <c r="Q228" s="3375"/>
      <c r="R228" s="3375"/>
      <c r="S228" s="3375"/>
      <c r="T228" s="3375"/>
      <c r="U228" s="3375"/>
      <c r="V228" s="3375"/>
      <c r="W228" s="3375"/>
      <c r="X228" s="3375"/>
      <c r="Y228" s="3375"/>
      <c r="Z228" s="3375"/>
      <c r="AA228" s="3390"/>
      <c r="AB228" s="3486"/>
      <c r="AC228" s="576"/>
      <c r="AD228" s="576"/>
      <c r="AE228" s="576"/>
      <c r="AF228" s="576"/>
    </row>
    <row r="229" spans="1:32" ht="30.9">
      <c r="A229" s="527"/>
      <c r="B229" s="527"/>
      <c r="C229" s="3480"/>
      <c r="D229" s="3397"/>
      <c r="E229" s="3484"/>
      <c r="F229" s="3380"/>
      <c r="G229" s="3380"/>
      <c r="H229" s="3380"/>
      <c r="I229" s="3380"/>
      <c r="J229" s="3380"/>
      <c r="K229" s="3380"/>
      <c r="L229" s="520" t="s">
        <v>1252</v>
      </c>
      <c r="M229" s="504">
        <f>150*30*3</f>
        <v>13500</v>
      </c>
      <c r="N229" s="3490"/>
      <c r="O229" s="3376"/>
      <c r="P229" s="3376"/>
      <c r="Q229" s="3376"/>
      <c r="R229" s="3376"/>
      <c r="S229" s="3376"/>
      <c r="T229" s="3376"/>
      <c r="U229" s="3376"/>
      <c r="V229" s="3376"/>
      <c r="W229" s="3376"/>
      <c r="X229" s="3376"/>
      <c r="Y229" s="3376"/>
      <c r="Z229" s="3376"/>
      <c r="AA229" s="3380"/>
      <c r="AB229" s="3487"/>
      <c r="AC229" s="576"/>
      <c r="AD229" s="576"/>
      <c r="AE229" s="576"/>
      <c r="AF229" s="576"/>
    </row>
    <row r="230" spans="1:32" ht="30.9">
      <c r="A230" s="555"/>
      <c r="B230" s="555"/>
      <c r="C230" s="3478"/>
      <c r="D230" s="3481"/>
      <c r="E230" s="3482" t="s">
        <v>1253</v>
      </c>
      <c r="F230" s="3393" t="s">
        <v>1254</v>
      </c>
      <c r="G230" s="3393" t="s">
        <v>1255</v>
      </c>
      <c r="H230" s="3379" t="s">
        <v>239</v>
      </c>
      <c r="I230" s="3379" t="s">
        <v>239</v>
      </c>
      <c r="J230" s="3379" t="s">
        <v>239</v>
      </c>
      <c r="K230" s="3379"/>
      <c r="L230" s="520" t="s">
        <v>1248</v>
      </c>
      <c r="M230" s="587">
        <f>1200*3</f>
        <v>3600</v>
      </c>
      <c r="N230" s="3491"/>
      <c r="O230" s="3488"/>
      <c r="P230" s="3374">
        <v>23950</v>
      </c>
      <c r="Q230" s="3374"/>
      <c r="R230" s="3374"/>
      <c r="S230" s="3374">
        <v>23950</v>
      </c>
      <c r="T230" s="3374"/>
      <c r="U230" s="3374"/>
      <c r="V230" s="3374">
        <v>23950</v>
      </c>
      <c r="W230" s="3374"/>
      <c r="X230" s="3374"/>
      <c r="Y230" s="3374"/>
      <c r="Z230" s="3374"/>
      <c r="AA230" s="3379" t="s">
        <v>1241</v>
      </c>
      <c r="AB230" s="3485" t="s">
        <v>1244</v>
      </c>
      <c r="AC230" s="576"/>
      <c r="AD230" s="576"/>
      <c r="AE230" s="576"/>
      <c r="AF230" s="576"/>
    </row>
    <row r="231" spans="1:32" ht="30.9">
      <c r="A231" s="515"/>
      <c r="B231" s="515"/>
      <c r="C231" s="3479"/>
      <c r="D231" s="3389"/>
      <c r="E231" s="3483"/>
      <c r="F231" s="3387"/>
      <c r="G231" s="3387"/>
      <c r="H231" s="3390"/>
      <c r="I231" s="3390"/>
      <c r="J231" s="3390"/>
      <c r="K231" s="3390"/>
      <c r="L231" s="520" t="s">
        <v>1256</v>
      </c>
      <c r="M231" s="587">
        <f>1000*3</f>
        <v>3000</v>
      </c>
      <c r="N231" s="3492"/>
      <c r="O231" s="3489"/>
      <c r="P231" s="3375"/>
      <c r="Q231" s="3375"/>
      <c r="R231" s="3375"/>
      <c r="S231" s="3375"/>
      <c r="T231" s="3375"/>
      <c r="U231" s="3375"/>
      <c r="V231" s="3375"/>
      <c r="W231" s="3375"/>
      <c r="X231" s="3375"/>
      <c r="Y231" s="3375"/>
      <c r="Z231" s="3375"/>
      <c r="AA231" s="3390"/>
      <c r="AB231" s="3486"/>
      <c r="AC231" s="576"/>
      <c r="AD231" s="576"/>
      <c r="AE231" s="576"/>
      <c r="AF231" s="576"/>
    </row>
    <row r="232" spans="1:32" ht="30.9">
      <c r="A232" s="515"/>
      <c r="B232" s="515"/>
      <c r="C232" s="3479"/>
      <c r="D232" s="3389"/>
      <c r="E232" s="3483"/>
      <c r="F232" s="3387"/>
      <c r="G232" s="3387"/>
      <c r="H232" s="3390"/>
      <c r="I232" s="3390"/>
      <c r="J232" s="3390"/>
      <c r="K232" s="3390"/>
      <c r="L232" s="520" t="s">
        <v>1257</v>
      </c>
      <c r="M232" s="587">
        <f>1000*16*3</f>
        <v>48000</v>
      </c>
      <c r="N232" s="3492"/>
      <c r="O232" s="3489"/>
      <c r="P232" s="3375"/>
      <c r="Q232" s="3375"/>
      <c r="R232" s="3375"/>
      <c r="S232" s="3375"/>
      <c r="T232" s="3375"/>
      <c r="U232" s="3375"/>
      <c r="V232" s="3375"/>
      <c r="W232" s="3375"/>
      <c r="X232" s="3375"/>
      <c r="Y232" s="3375"/>
      <c r="Z232" s="3375"/>
      <c r="AA232" s="3390"/>
      <c r="AB232" s="3486"/>
      <c r="AC232" s="576"/>
      <c r="AD232" s="576"/>
      <c r="AE232" s="576"/>
      <c r="AF232" s="576"/>
    </row>
    <row r="233" spans="1:32" ht="30.9">
      <c r="A233" s="515"/>
      <c r="B233" s="515"/>
      <c r="C233" s="3479"/>
      <c r="D233" s="3389"/>
      <c r="E233" s="3483"/>
      <c r="F233" s="3387"/>
      <c r="G233" s="3387"/>
      <c r="H233" s="3390"/>
      <c r="I233" s="3390"/>
      <c r="J233" s="3390"/>
      <c r="K233" s="3390"/>
      <c r="L233" s="520" t="s">
        <v>1258</v>
      </c>
      <c r="M233" s="587">
        <f>1000*2*3</f>
        <v>6000</v>
      </c>
      <c r="N233" s="3492"/>
      <c r="O233" s="3489"/>
      <c r="P233" s="3375"/>
      <c r="Q233" s="3375"/>
      <c r="R233" s="3375"/>
      <c r="S233" s="3375"/>
      <c r="T233" s="3375"/>
      <c r="U233" s="3375"/>
      <c r="V233" s="3375"/>
      <c r="W233" s="3375"/>
      <c r="X233" s="3375"/>
      <c r="Y233" s="3375"/>
      <c r="Z233" s="3375"/>
      <c r="AA233" s="3390"/>
      <c r="AB233" s="3486"/>
      <c r="AC233" s="576"/>
      <c r="AD233" s="576"/>
      <c r="AE233" s="576"/>
      <c r="AF233" s="576"/>
    </row>
    <row r="234" spans="1:32" ht="30.9">
      <c r="A234" s="527"/>
      <c r="B234" s="527"/>
      <c r="C234" s="3480"/>
      <c r="D234" s="3397"/>
      <c r="E234" s="3484"/>
      <c r="F234" s="3388"/>
      <c r="G234" s="3388"/>
      <c r="H234" s="3380"/>
      <c r="I234" s="3380"/>
      <c r="J234" s="3380"/>
      <c r="K234" s="3380"/>
      <c r="L234" s="520" t="s">
        <v>1259</v>
      </c>
      <c r="M234" s="587">
        <f>150*25*3</f>
        <v>11250</v>
      </c>
      <c r="N234" s="3493"/>
      <c r="O234" s="3490"/>
      <c r="P234" s="3376"/>
      <c r="Q234" s="3376"/>
      <c r="R234" s="3376"/>
      <c r="S234" s="3376"/>
      <c r="T234" s="3376"/>
      <c r="U234" s="3376"/>
      <c r="V234" s="3376"/>
      <c r="W234" s="3376"/>
      <c r="X234" s="3376"/>
      <c r="Y234" s="3376"/>
      <c r="Z234" s="3376"/>
      <c r="AA234" s="3380"/>
      <c r="AB234" s="3487"/>
      <c r="AC234" s="576"/>
      <c r="AD234" s="576"/>
      <c r="AE234" s="576"/>
      <c r="AF234" s="576"/>
    </row>
    <row r="235" spans="1:32" ht="30.9">
      <c r="A235" s="555"/>
      <c r="B235" s="555"/>
      <c r="C235" s="555"/>
      <c r="D235" s="3481"/>
      <c r="E235" s="3393" t="s">
        <v>1260</v>
      </c>
      <c r="F235" s="3393" t="s">
        <v>1261</v>
      </c>
      <c r="G235" s="3387" t="s">
        <v>1262</v>
      </c>
      <c r="H235" s="3379" t="s">
        <v>239</v>
      </c>
      <c r="I235" s="3379" t="s">
        <v>239</v>
      </c>
      <c r="J235" s="3379" t="s">
        <v>239</v>
      </c>
      <c r="K235" s="3379"/>
      <c r="L235" s="520" t="s">
        <v>1263</v>
      </c>
      <c r="M235" s="587">
        <v>4000</v>
      </c>
      <c r="N235" s="3491"/>
      <c r="O235" s="3491"/>
      <c r="P235" s="3374">
        <v>14050</v>
      </c>
      <c r="Q235" s="3374"/>
      <c r="R235" s="3374"/>
      <c r="S235" s="3374">
        <v>14050</v>
      </c>
      <c r="T235" s="3374"/>
      <c r="U235" s="3374"/>
      <c r="V235" s="3374">
        <v>14050</v>
      </c>
      <c r="W235" s="3374"/>
      <c r="X235" s="3374"/>
      <c r="Y235" s="3374">
        <v>14050</v>
      </c>
      <c r="Z235" s="3374"/>
      <c r="AA235" s="3379" t="s">
        <v>1241</v>
      </c>
      <c r="AB235" s="3485" t="s">
        <v>1244</v>
      </c>
      <c r="AC235" s="576"/>
      <c r="AD235" s="576"/>
      <c r="AE235" s="576"/>
      <c r="AF235" s="576"/>
    </row>
    <row r="236" spans="1:32" ht="30.9">
      <c r="A236" s="515"/>
      <c r="B236" s="515"/>
      <c r="C236" s="515"/>
      <c r="D236" s="3389"/>
      <c r="E236" s="3387"/>
      <c r="F236" s="3387"/>
      <c r="G236" s="3387"/>
      <c r="H236" s="3390"/>
      <c r="I236" s="3390"/>
      <c r="J236" s="3390"/>
      <c r="K236" s="3390"/>
      <c r="L236" s="520" t="s">
        <v>1264</v>
      </c>
      <c r="M236" s="504">
        <v>3200</v>
      </c>
      <c r="N236" s="3492"/>
      <c r="O236" s="3492"/>
      <c r="P236" s="3375"/>
      <c r="Q236" s="3375"/>
      <c r="R236" s="3375"/>
      <c r="S236" s="3375"/>
      <c r="T236" s="3375"/>
      <c r="U236" s="3375"/>
      <c r="V236" s="3375"/>
      <c r="W236" s="3375"/>
      <c r="X236" s="3375"/>
      <c r="Y236" s="3375"/>
      <c r="Z236" s="3375"/>
      <c r="AA236" s="3390"/>
      <c r="AB236" s="3486"/>
      <c r="AC236" s="576"/>
      <c r="AD236" s="576"/>
      <c r="AE236" s="576"/>
      <c r="AF236" s="576"/>
    </row>
    <row r="237" spans="1:32" ht="30.9">
      <c r="A237" s="515"/>
      <c r="B237" s="515"/>
      <c r="C237" s="515"/>
      <c r="D237" s="3389"/>
      <c r="E237" s="3387"/>
      <c r="F237" s="3387"/>
      <c r="G237" s="3387"/>
      <c r="H237" s="3390"/>
      <c r="I237" s="3390"/>
      <c r="J237" s="3390"/>
      <c r="K237" s="3390"/>
      <c r="L237" s="520" t="s">
        <v>1265</v>
      </c>
      <c r="M237" s="504">
        <v>30000</v>
      </c>
      <c r="N237" s="3492"/>
      <c r="O237" s="3492"/>
      <c r="P237" s="3375"/>
      <c r="Q237" s="3375"/>
      <c r="R237" s="3375"/>
      <c r="S237" s="3375"/>
      <c r="T237" s="3375"/>
      <c r="U237" s="3375"/>
      <c r="V237" s="3375"/>
      <c r="W237" s="3375"/>
      <c r="X237" s="3375"/>
      <c r="Y237" s="3375"/>
      <c r="Z237" s="3375"/>
      <c r="AA237" s="3390"/>
      <c r="AB237" s="3486"/>
      <c r="AC237" s="576"/>
      <c r="AD237" s="576"/>
      <c r="AE237" s="576"/>
      <c r="AF237" s="576"/>
    </row>
    <row r="238" spans="1:32" ht="30.9">
      <c r="A238" s="515"/>
      <c r="B238" s="515"/>
      <c r="C238" s="515"/>
      <c r="D238" s="3389"/>
      <c r="E238" s="3387"/>
      <c r="F238" s="3387"/>
      <c r="G238" s="3387"/>
      <c r="H238" s="3390"/>
      <c r="I238" s="3390"/>
      <c r="J238" s="3390"/>
      <c r="K238" s="3390"/>
      <c r="L238" s="520" t="s">
        <v>1266</v>
      </c>
      <c r="M238" s="504">
        <v>4000</v>
      </c>
      <c r="N238" s="3492"/>
      <c r="O238" s="3492"/>
      <c r="P238" s="3375"/>
      <c r="Q238" s="3375"/>
      <c r="R238" s="3375"/>
      <c r="S238" s="3375"/>
      <c r="T238" s="3375"/>
      <c r="U238" s="3375"/>
      <c r="V238" s="3375"/>
      <c r="W238" s="3375"/>
      <c r="X238" s="3375"/>
      <c r="Y238" s="3375"/>
      <c r="Z238" s="3375"/>
      <c r="AA238" s="3390"/>
      <c r="AB238" s="3486"/>
      <c r="AC238" s="576"/>
      <c r="AD238" s="576"/>
      <c r="AE238" s="576"/>
      <c r="AF238" s="576"/>
    </row>
    <row r="239" spans="1:32" ht="30.9">
      <c r="A239" s="527"/>
      <c r="B239" s="527"/>
      <c r="C239" s="527"/>
      <c r="D239" s="3397"/>
      <c r="E239" s="3388"/>
      <c r="F239" s="3388"/>
      <c r="G239" s="3388"/>
      <c r="H239" s="3380"/>
      <c r="I239" s="3380"/>
      <c r="J239" s="3380"/>
      <c r="K239" s="3380"/>
      <c r="L239" s="520" t="s">
        <v>1267</v>
      </c>
      <c r="M239" s="504">
        <v>15000</v>
      </c>
      <c r="N239" s="3493"/>
      <c r="O239" s="3493"/>
      <c r="P239" s="3376"/>
      <c r="Q239" s="3376"/>
      <c r="R239" s="3376"/>
      <c r="S239" s="3376"/>
      <c r="T239" s="3376"/>
      <c r="U239" s="3376"/>
      <c r="V239" s="3376"/>
      <c r="W239" s="3376"/>
      <c r="X239" s="3376"/>
      <c r="Y239" s="3376"/>
      <c r="Z239" s="3376"/>
      <c r="AA239" s="3380"/>
      <c r="AB239" s="3487"/>
      <c r="AC239" s="576"/>
      <c r="AD239" s="576"/>
      <c r="AE239" s="576"/>
      <c r="AF239" s="576"/>
    </row>
    <row r="240" spans="1:32" ht="30.9">
      <c r="A240" s="515"/>
      <c r="B240" s="515"/>
      <c r="C240" s="515"/>
      <c r="D240" s="3389"/>
      <c r="E240" s="3387" t="s">
        <v>1268</v>
      </c>
      <c r="F240" s="3387" t="s">
        <v>1269</v>
      </c>
      <c r="G240" s="3393" t="s">
        <v>1262</v>
      </c>
      <c r="H240" s="3379" t="s">
        <v>239</v>
      </c>
      <c r="I240" s="3379" t="s">
        <v>239</v>
      </c>
      <c r="J240" s="3379" t="s">
        <v>239</v>
      </c>
      <c r="K240" s="3379"/>
      <c r="L240" s="520" t="s">
        <v>1263</v>
      </c>
      <c r="M240" s="587">
        <v>4000</v>
      </c>
      <c r="N240" s="3491"/>
      <c r="O240" s="3491"/>
      <c r="P240" s="3374">
        <v>14050</v>
      </c>
      <c r="Q240" s="3374"/>
      <c r="R240" s="3374"/>
      <c r="S240" s="3374">
        <v>14050</v>
      </c>
      <c r="T240" s="3374"/>
      <c r="U240" s="3374"/>
      <c r="V240" s="3374">
        <v>14050</v>
      </c>
      <c r="W240" s="3374"/>
      <c r="X240" s="3374"/>
      <c r="Y240" s="3374">
        <v>14050</v>
      </c>
      <c r="Z240" s="3374"/>
      <c r="AA240" s="3379" t="s">
        <v>1241</v>
      </c>
      <c r="AB240" s="3485" t="s">
        <v>1244</v>
      </c>
      <c r="AC240" s="576"/>
      <c r="AD240" s="576"/>
      <c r="AE240" s="576"/>
      <c r="AF240" s="576"/>
    </row>
    <row r="241" spans="1:32" ht="30.9">
      <c r="A241" s="515"/>
      <c r="B241" s="515"/>
      <c r="C241" s="515"/>
      <c r="D241" s="3389"/>
      <c r="E241" s="3387"/>
      <c r="F241" s="3387"/>
      <c r="G241" s="3387"/>
      <c r="H241" s="3390"/>
      <c r="I241" s="3390"/>
      <c r="J241" s="3390"/>
      <c r="K241" s="3390"/>
      <c r="L241" s="520" t="s">
        <v>1264</v>
      </c>
      <c r="M241" s="504">
        <v>3200</v>
      </c>
      <c r="N241" s="3492"/>
      <c r="O241" s="3492"/>
      <c r="P241" s="3375"/>
      <c r="Q241" s="3375"/>
      <c r="R241" s="3375"/>
      <c r="S241" s="3375"/>
      <c r="T241" s="3375"/>
      <c r="U241" s="3375"/>
      <c r="V241" s="3375"/>
      <c r="W241" s="3375"/>
      <c r="X241" s="3375"/>
      <c r="Y241" s="3375"/>
      <c r="Z241" s="3375"/>
      <c r="AA241" s="3390"/>
      <c r="AB241" s="3486"/>
      <c r="AC241" s="576"/>
      <c r="AD241" s="576"/>
      <c r="AE241" s="576"/>
      <c r="AF241" s="576"/>
    </row>
    <row r="242" spans="1:32" ht="30.9">
      <c r="A242" s="515"/>
      <c r="B242" s="515"/>
      <c r="C242" s="515"/>
      <c r="D242" s="3389"/>
      <c r="E242" s="3387"/>
      <c r="F242" s="3387"/>
      <c r="G242" s="3387"/>
      <c r="H242" s="3390"/>
      <c r="I242" s="3390"/>
      <c r="J242" s="3390"/>
      <c r="K242" s="3390"/>
      <c r="L242" s="520" t="s">
        <v>1265</v>
      </c>
      <c r="M242" s="504">
        <v>30000</v>
      </c>
      <c r="N242" s="3492"/>
      <c r="O242" s="3492"/>
      <c r="P242" s="3375"/>
      <c r="Q242" s="3375"/>
      <c r="R242" s="3375"/>
      <c r="S242" s="3375"/>
      <c r="T242" s="3375"/>
      <c r="U242" s="3375"/>
      <c r="V242" s="3375"/>
      <c r="W242" s="3375"/>
      <c r="X242" s="3375"/>
      <c r="Y242" s="3375"/>
      <c r="Z242" s="3375"/>
      <c r="AA242" s="3390"/>
      <c r="AB242" s="3486"/>
      <c r="AC242" s="576"/>
      <c r="AD242" s="576"/>
      <c r="AE242" s="576"/>
      <c r="AF242" s="576"/>
    </row>
    <row r="243" spans="1:32" ht="30.9">
      <c r="A243" s="515"/>
      <c r="B243" s="515"/>
      <c r="C243" s="515"/>
      <c r="D243" s="3389"/>
      <c r="E243" s="3387"/>
      <c r="F243" s="3387"/>
      <c r="G243" s="3387"/>
      <c r="H243" s="3390"/>
      <c r="I243" s="3390"/>
      <c r="J243" s="3390"/>
      <c r="K243" s="3390"/>
      <c r="L243" s="520" t="s">
        <v>1266</v>
      </c>
      <c r="M243" s="504">
        <v>4000</v>
      </c>
      <c r="N243" s="3492"/>
      <c r="O243" s="3492"/>
      <c r="P243" s="3375"/>
      <c r="Q243" s="3375"/>
      <c r="R243" s="3375"/>
      <c r="S243" s="3375"/>
      <c r="T243" s="3375"/>
      <c r="U243" s="3375"/>
      <c r="V243" s="3375"/>
      <c r="W243" s="3375"/>
      <c r="X243" s="3375"/>
      <c r="Y243" s="3375"/>
      <c r="Z243" s="3375"/>
      <c r="AA243" s="3390"/>
      <c r="AB243" s="3486"/>
      <c r="AC243" s="576"/>
      <c r="AD243" s="576"/>
      <c r="AE243" s="576"/>
      <c r="AF243" s="576"/>
    </row>
    <row r="244" spans="1:32" ht="30.9">
      <c r="A244" s="515"/>
      <c r="B244" s="515"/>
      <c r="C244" s="515"/>
      <c r="D244" s="3389"/>
      <c r="E244" s="3388"/>
      <c r="F244" s="3388"/>
      <c r="G244" s="3388"/>
      <c r="H244" s="3380"/>
      <c r="I244" s="3380"/>
      <c r="J244" s="3380"/>
      <c r="K244" s="3380"/>
      <c r="L244" s="520" t="s">
        <v>1267</v>
      </c>
      <c r="M244" s="504">
        <v>15000</v>
      </c>
      <c r="N244" s="3493"/>
      <c r="O244" s="3493"/>
      <c r="P244" s="3376"/>
      <c r="Q244" s="3376"/>
      <c r="R244" s="3376"/>
      <c r="S244" s="3376"/>
      <c r="T244" s="3376"/>
      <c r="U244" s="3376"/>
      <c r="V244" s="3376"/>
      <c r="W244" s="3376"/>
      <c r="X244" s="3376"/>
      <c r="Y244" s="3376"/>
      <c r="Z244" s="3376"/>
      <c r="AA244" s="3380"/>
      <c r="AB244" s="3487"/>
      <c r="AC244" s="576"/>
      <c r="AD244" s="576"/>
      <c r="AE244" s="576"/>
      <c r="AF244" s="576"/>
    </row>
    <row r="245" spans="1:32" ht="61.75">
      <c r="A245" s="515"/>
      <c r="B245" s="515"/>
      <c r="C245" s="515"/>
      <c r="D245" s="502"/>
      <c r="E245" s="500" t="s">
        <v>1270</v>
      </c>
      <c r="F245" s="500" t="s">
        <v>1271</v>
      </c>
      <c r="G245" s="500" t="s">
        <v>1272</v>
      </c>
      <c r="H245" s="458" t="s">
        <v>239</v>
      </c>
      <c r="I245" s="458" t="s">
        <v>239</v>
      </c>
      <c r="J245" s="458" t="s">
        <v>239</v>
      </c>
      <c r="K245" s="458" t="s">
        <v>239</v>
      </c>
      <c r="L245" s="500" t="s">
        <v>1273</v>
      </c>
      <c r="M245" s="459">
        <v>110000</v>
      </c>
      <c r="N245" s="459"/>
      <c r="O245" s="459"/>
      <c r="P245" s="459">
        <v>10000</v>
      </c>
      <c r="Q245" s="459">
        <v>10000</v>
      </c>
      <c r="R245" s="459">
        <v>10000</v>
      </c>
      <c r="S245" s="459">
        <v>10000</v>
      </c>
      <c r="T245" s="459">
        <v>10000</v>
      </c>
      <c r="U245" s="459">
        <v>10000</v>
      </c>
      <c r="V245" s="459">
        <v>10000</v>
      </c>
      <c r="W245" s="459">
        <v>10000</v>
      </c>
      <c r="X245" s="459">
        <v>10000</v>
      </c>
      <c r="Y245" s="459">
        <v>10000</v>
      </c>
      <c r="Z245" s="459">
        <v>10000</v>
      </c>
      <c r="AA245" s="458" t="s">
        <v>1241</v>
      </c>
      <c r="AB245" s="505" t="s">
        <v>1244</v>
      </c>
      <c r="AC245" s="576"/>
      <c r="AD245" s="576"/>
      <c r="AE245" s="576"/>
      <c r="AF245" s="576"/>
    </row>
    <row r="246" spans="1:32" ht="30.9">
      <c r="A246" s="515"/>
      <c r="B246" s="515"/>
      <c r="C246" s="515"/>
      <c r="D246" s="503"/>
      <c r="E246" s="635" t="s">
        <v>1274</v>
      </c>
      <c r="F246" s="635" t="s">
        <v>1275</v>
      </c>
      <c r="G246" s="500" t="s">
        <v>1272</v>
      </c>
      <c r="H246" s="458" t="s">
        <v>239</v>
      </c>
      <c r="I246" s="458" t="s">
        <v>239</v>
      </c>
      <c r="J246" s="458" t="s">
        <v>239</v>
      </c>
      <c r="K246" s="458" t="s">
        <v>239</v>
      </c>
      <c r="L246" s="520" t="s">
        <v>1276</v>
      </c>
      <c r="M246" s="504">
        <v>37500</v>
      </c>
      <c r="N246" s="587"/>
      <c r="O246" s="459"/>
      <c r="P246" s="459">
        <f t="shared" ref="P246:Y246" si="63">150*25</f>
        <v>3750</v>
      </c>
      <c r="Q246" s="459">
        <f t="shared" si="63"/>
        <v>3750</v>
      </c>
      <c r="R246" s="459">
        <f t="shared" si="63"/>
        <v>3750</v>
      </c>
      <c r="S246" s="459">
        <f t="shared" si="63"/>
        <v>3750</v>
      </c>
      <c r="T246" s="459">
        <f t="shared" si="63"/>
        <v>3750</v>
      </c>
      <c r="U246" s="459">
        <f t="shared" si="63"/>
        <v>3750</v>
      </c>
      <c r="V246" s="459">
        <f t="shared" si="63"/>
        <v>3750</v>
      </c>
      <c r="W246" s="459">
        <f t="shared" si="63"/>
        <v>3750</v>
      </c>
      <c r="X246" s="459">
        <f t="shared" si="63"/>
        <v>3750</v>
      </c>
      <c r="Y246" s="459">
        <f t="shared" si="63"/>
        <v>3750</v>
      </c>
      <c r="Z246" s="459"/>
      <c r="AA246" s="458" t="s">
        <v>1241</v>
      </c>
      <c r="AB246" s="505" t="s">
        <v>1244</v>
      </c>
      <c r="AC246" s="576"/>
      <c r="AD246" s="576"/>
      <c r="AE246" s="576"/>
      <c r="AF246" s="576"/>
    </row>
    <row r="247" spans="1:32" ht="72">
      <c r="A247" s="515"/>
      <c r="B247" s="515"/>
      <c r="C247" s="515"/>
      <c r="D247" s="502"/>
      <c r="E247" s="635" t="s">
        <v>1277</v>
      </c>
      <c r="F247" s="635" t="s">
        <v>1278</v>
      </c>
      <c r="G247" s="500" t="s">
        <v>1272</v>
      </c>
      <c r="H247" s="458"/>
      <c r="I247" s="458" t="s">
        <v>239</v>
      </c>
      <c r="J247" s="569"/>
      <c r="K247" s="570"/>
      <c r="L247" s="520" t="s">
        <v>1279</v>
      </c>
      <c r="M247" s="587">
        <v>30000</v>
      </c>
      <c r="N247" s="587"/>
      <c r="O247" s="504"/>
      <c r="P247" s="504">
        <f>150*50*2</f>
        <v>15000</v>
      </c>
      <c r="Q247" s="504">
        <f>150*50*2</f>
        <v>15000</v>
      </c>
      <c r="R247" s="504"/>
      <c r="S247" s="459" t="s">
        <v>239</v>
      </c>
      <c r="T247" s="504"/>
      <c r="U247" s="504"/>
      <c r="V247" s="504"/>
      <c r="W247" s="504"/>
      <c r="X247" s="504"/>
      <c r="Y247" s="504"/>
      <c r="Z247" s="504"/>
      <c r="AA247" s="458" t="s">
        <v>1241</v>
      </c>
      <c r="AB247" s="505" t="s">
        <v>1244</v>
      </c>
      <c r="AC247" s="576"/>
      <c r="AD247" s="576"/>
      <c r="AE247" s="576"/>
      <c r="AF247" s="576"/>
    </row>
    <row r="248" spans="1:32" ht="30.9">
      <c r="A248" s="515"/>
      <c r="B248" s="515"/>
      <c r="C248" s="515"/>
      <c r="D248" s="502"/>
      <c r="E248" s="3393" t="s">
        <v>1280</v>
      </c>
      <c r="F248" s="3393" t="s">
        <v>1281</v>
      </c>
      <c r="G248" s="3370" t="s">
        <v>1272</v>
      </c>
      <c r="H248" s="3379"/>
      <c r="I248" s="3379"/>
      <c r="J248" s="3379" t="s">
        <v>239</v>
      </c>
      <c r="K248" s="3379"/>
      <c r="L248" s="520" t="s">
        <v>1282</v>
      </c>
      <c r="M248" s="587">
        <v>70000</v>
      </c>
      <c r="N248" s="3491"/>
      <c r="O248" s="3488"/>
      <c r="P248" s="3488"/>
      <c r="Q248" s="3488"/>
      <c r="R248" s="3488"/>
      <c r="S248" s="3488"/>
      <c r="T248" s="3488"/>
      <c r="U248" s="3488"/>
      <c r="V248" s="3488">
        <v>77200</v>
      </c>
      <c r="W248" s="3488"/>
      <c r="X248" s="3488"/>
      <c r="Y248" s="3488"/>
      <c r="Z248" s="3488"/>
      <c r="AA248" s="3379" t="s">
        <v>1241</v>
      </c>
      <c r="AB248" s="3357" t="s">
        <v>1244</v>
      </c>
      <c r="AC248" s="576"/>
      <c r="AD248" s="576"/>
      <c r="AE248" s="576"/>
      <c r="AF248" s="576"/>
    </row>
    <row r="249" spans="1:32" ht="20.6">
      <c r="A249" s="515"/>
      <c r="B249" s="515"/>
      <c r="C249" s="515"/>
      <c r="D249" s="502"/>
      <c r="E249" s="3388"/>
      <c r="F249" s="3388"/>
      <c r="G249" s="3371"/>
      <c r="H249" s="3380"/>
      <c r="I249" s="3380"/>
      <c r="J249" s="3380"/>
      <c r="K249" s="3380"/>
      <c r="L249" s="520" t="s">
        <v>1283</v>
      </c>
      <c r="M249" s="587">
        <v>7200</v>
      </c>
      <c r="N249" s="3493"/>
      <c r="O249" s="3490"/>
      <c r="P249" s="3490"/>
      <c r="Q249" s="3490"/>
      <c r="R249" s="3490"/>
      <c r="S249" s="3490"/>
      <c r="T249" s="3490"/>
      <c r="U249" s="3490"/>
      <c r="V249" s="3490"/>
      <c r="W249" s="3490"/>
      <c r="X249" s="3490"/>
      <c r="Y249" s="3490"/>
      <c r="Z249" s="3490"/>
      <c r="AA249" s="3380"/>
      <c r="AB249" s="3359"/>
      <c r="AC249" s="576"/>
      <c r="AD249" s="576"/>
      <c r="AE249" s="576"/>
      <c r="AF249" s="576"/>
    </row>
    <row r="250" spans="1:32" ht="30.9">
      <c r="A250" s="515"/>
      <c r="B250" s="515"/>
      <c r="C250" s="515"/>
      <c r="D250" s="503"/>
      <c r="E250" s="661" t="s">
        <v>1284</v>
      </c>
      <c r="F250" s="661" t="s">
        <v>1285</v>
      </c>
      <c r="G250" s="661" t="s">
        <v>1272</v>
      </c>
      <c r="H250" s="491"/>
      <c r="I250" s="491"/>
      <c r="J250" s="491" t="s">
        <v>239</v>
      </c>
      <c r="K250" s="491"/>
      <c r="L250" s="520" t="s">
        <v>1286</v>
      </c>
      <c r="M250" s="587">
        <f>150*50*2</f>
        <v>15000</v>
      </c>
      <c r="N250" s="744"/>
      <c r="O250" s="745"/>
      <c r="P250" s="745"/>
      <c r="Q250" s="745"/>
      <c r="R250" s="745"/>
      <c r="S250" s="745"/>
      <c r="T250" s="745"/>
      <c r="U250" s="745"/>
      <c r="V250" s="745"/>
      <c r="W250" s="745"/>
      <c r="X250" s="745"/>
      <c r="Y250" s="745">
        <v>15000</v>
      </c>
      <c r="Z250" s="745"/>
      <c r="AA250" s="491" t="s">
        <v>1241</v>
      </c>
      <c r="AB250" s="545" t="s">
        <v>1244</v>
      </c>
      <c r="AC250" s="576"/>
      <c r="AD250" s="576"/>
      <c r="AE250" s="576"/>
      <c r="AF250" s="576"/>
    </row>
    <row r="251" spans="1:32" ht="61.75">
      <c r="A251" s="515"/>
      <c r="B251" s="515"/>
      <c r="C251" s="515"/>
      <c r="D251" s="502"/>
      <c r="E251" s="635" t="s">
        <v>1287</v>
      </c>
      <c r="F251" s="635" t="s">
        <v>1288</v>
      </c>
      <c r="G251" s="635" t="s">
        <v>1289</v>
      </c>
      <c r="H251" s="569"/>
      <c r="I251" s="458" t="s">
        <v>239</v>
      </c>
      <c r="J251" s="569"/>
      <c r="K251" s="570"/>
      <c r="L251" s="520" t="s">
        <v>1290</v>
      </c>
      <c r="M251" s="587">
        <v>10500</v>
      </c>
      <c r="N251" s="587"/>
      <c r="O251" s="504"/>
      <c r="P251" s="504"/>
      <c r="Q251" s="504"/>
      <c r="R251" s="504"/>
      <c r="S251" s="504">
        <v>10500</v>
      </c>
      <c r="T251" s="504"/>
      <c r="U251" s="504"/>
      <c r="V251" s="504"/>
      <c r="W251" s="504"/>
      <c r="X251" s="504"/>
      <c r="Y251" s="504"/>
      <c r="Z251" s="504"/>
      <c r="AA251" s="458" t="s">
        <v>1241</v>
      </c>
      <c r="AB251" s="505" t="s">
        <v>1244</v>
      </c>
      <c r="AC251" s="576"/>
      <c r="AD251" s="576"/>
      <c r="AE251" s="576"/>
      <c r="AF251" s="576"/>
    </row>
    <row r="252" spans="1:32" ht="30.9">
      <c r="A252" s="515"/>
      <c r="B252" s="515"/>
      <c r="C252" s="515"/>
      <c r="D252" s="502"/>
      <c r="E252" s="3393" t="s">
        <v>1291</v>
      </c>
      <c r="F252" s="3393" t="s">
        <v>1288</v>
      </c>
      <c r="G252" s="3393" t="s">
        <v>1292</v>
      </c>
      <c r="H252" s="3494"/>
      <c r="I252" s="3494" t="s">
        <v>239</v>
      </c>
      <c r="J252" s="3494"/>
      <c r="K252" s="3494"/>
      <c r="L252" s="520" t="s">
        <v>1293</v>
      </c>
      <c r="M252" s="587">
        <v>24500</v>
      </c>
      <c r="N252" s="3491"/>
      <c r="O252" s="3488"/>
      <c r="P252" s="3488"/>
      <c r="Q252" s="3488"/>
      <c r="R252" s="3488"/>
      <c r="S252" s="3488">
        <v>26900</v>
      </c>
      <c r="T252" s="3488"/>
      <c r="U252" s="3488"/>
      <c r="V252" s="3488"/>
      <c r="W252" s="3488"/>
      <c r="X252" s="3488"/>
      <c r="Y252" s="3488"/>
      <c r="Z252" s="3488"/>
      <c r="AA252" s="3379" t="s">
        <v>1241</v>
      </c>
      <c r="AB252" s="3357" t="s">
        <v>1244</v>
      </c>
      <c r="AC252" s="576"/>
      <c r="AD252" s="576"/>
      <c r="AE252" s="576"/>
      <c r="AF252" s="576"/>
    </row>
    <row r="253" spans="1:32" ht="20.6">
      <c r="A253" s="515"/>
      <c r="B253" s="515"/>
      <c r="C253" s="515"/>
      <c r="D253" s="502"/>
      <c r="E253" s="3388"/>
      <c r="F253" s="3388"/>
      <c r="G253" s="3388"/>
      <c r="H253" s="3495"/>
      <c r="I253" s="3495"/>
      <c r="J253" s="3495"/>
      <c r="K253" s="3495"/>
      <c r="L253" s="520" t="s">
        <v>1294</v>
      </c>
      <c r="M253" s="587">
        <v>2400</v>
      </c>
      <c r="N253" s="3493"/>
      <c r="O253" s="3490"/>
      <c r="P253" s="3490"/>
      <c r="Q253" s="3490"/>
      <c r="R253" s="3490"/>
      <c r="S253" s="3490"/>
      <c r="T253" s="3490"/>
      <c r="U253" s="3490"/>
      <c r="V253" s="3490"/>
      <c r="W253" s="3490"/>
      <c r="X253" s="3490"/>
      <c r="Y253" s="3490"/>
      <c r="Z253" s="3490"/>
      <c r="AA253" s="3380"/>
      <c r="AB253" s="3359"/>
      <c r="AC253" s="576"/>
      <c r="AD253" s="576"/>
      <c r="AE253" s="576"/>
      <c r="AF253" s="576"/>
    </row>
    <row r="254" spans="1:32" ht="30.9">
      <c r="A254" s="515"/>
      <c r="B254" s="515"/>
      <c r="C254" s="515"/>
      <c r="D254" s="502"/>
      <c r="E254" s="3393" t="s">
        <v>1295</v>
      </c>
      <c r="F254" s="3393" t="s">
        <v>1296</v>
      </c>
      <c r="G254" s="3393" t="s">
        <v>1297</v>
      </c>
      <c r="H254" s="3494"/>
      <c r="I254" s="3494"/>
      <c r="J254" s="3494"/>
      <c r="K254" s="3494" t="s">
        <v>239</v>
      </c>
      <c r="L254" s="520" t="s">
        <v>1298</v>
      </c>
      <c r="M254" s="587">
        <f>20*150*10</f>
        <v>30000</v>
      </c>
      <c r="N254" s="3491"/>
      <c r="O254" s="3488"/>
      <c r="P254" s="3488"/>
      <c r="Q254" s="3488"/>
      <c r="R254" s="3488"/>
      <c r="S254" s="3488"/>
      <c r="T254" s="3488"/>
      <c r="U254" s="3488"/>
      <c r="V254" s="3488"/>
      <c r="W254" s="3488"/>
      <c r="X254" s="3488">
        <v>48000</v>
      </c>
      <c r="Y254" s="3488"/>
      <c r="Z254" s="3488"/>
      <c r="AA254" s="3379" t="s">
        <v>1241</v>
      </c>
      <c r="AB254" s="3485" t="s">
        <v>1244</v>
      </c>
      <c r="AC254" s="576"/>
      <c r="AD254" s="576"/>
      <c r="AE254" s="576"/>
      <c r="AF254" s="576"/>
    </row>
    <row r="255" spans="1:32" ht="20.6">
      <c r="A255" s="515"/>
      <c r="B255" s="515"/>
      <c r="C255" s="515"/>
      <c r="D255" s="502"/>
      <c r="E255" s="3388"/>
      <c r="F255" s="3388"/>
      <c r="G255" s="3388"/>
      <c r="H255" s="3495"/>
      <c r="I255" s="3495"/>
      <c r="J255" s="3495"/>
      <c r="K255" s="3495"/>
      <c r="L255" s="520" t="s">
        <v>1299</v>
      </c>
      <c r="M255" s="587">
        <v>18000</v>
      </c>
      <c r="N255" s="3493"/>
      <c r="O255" s="3490"/>
      <c r="P255" s="3490"/>
      <c r="Q255" s="3490"/>
      <c r="R255" s="3490"/>
      <c r="S255" s="3490"/>
      <c r="T255" s="3490"/>
      <c r="U255" s="3490"/>
      <c r="V255" s="3490"/>
      <c r="W255" s="3490"/>
      <c r="X255" s="3490"/>
      <c r="Y255" s="3490"/>
      <c r="Z255" s="3490"/>
      <c r="AA255" s="3380"/>
      <c r="AB255" s="3487"/>
      <c r="AC255" s="576"/>
      <c r="AD255" s="576"/>
      <c r="AE255" s="576"/>
      <c r="AF255" s="576"/>
    </row>
    <row r="256" spans="1:32" ht="20.6">
      <c r="A256" s="515"/>
      <c r="B256" s="515"/>
      <c r="C256" s="515"/>
      <c r="D256" s="502"/>
      <c r="E256" s="3393" t="s">
        <v>1300</v>
      </c>
      <c r="F256" s="3393" t="s">
        <v>1301</v>
      </c>
      <c r="G256" s="3393" t="s">
        <v>1302</v>
      </c>
      <c r="H256" s="3494"/>
      <c r="I256" s="3494" t="s">
        <v>239</v>
      </c>
      <c r="J256" s="3494"/>
      <c r="K256" s="3494"/>
      <c r="L256" s="520" t="s">
        <v>1303</v>
      </c>
      <c r="M256" s="587">
        <v>43750</v>
      </c>
      <c r="N256" s="3497"/>
      <c r="O256" s="3488"/>
      <c r="P256" s="3488"/>
      <c r="Q256" s="3488"/>
      <c r="R256" s="3488"/>
      <c r="S256" s="3488">
        <v>112250</v>
      </c>
      <c r="T256" s="3488"/>
      <c r="U256" s="3488"/>
      <c r="V256" s="3488"/>
      <c r="W256" s="3488"/>
      <c r="X256" s="3488"/>
      <c r="Y256" s="3488"/>
      <c r="Z256" s="3488"/>
      <c r="AA256" s="3379" t="s">
        <v>1241</v>
      </c>
      <c r="AB256" s="3357" t="s">
        <v>1244</v>
      </c>
      <c r="AC256" s="576"/>
      <c r="AD256" s="576"/>
      <c r="AE256" s="576"/>
      <c r="AF256" s="576"/>
    </row>
    <row r="257" spans="1:34" ht="20.6">
      <c r="A257" s="515"/>
      <c r="B257" s="515"/>
      <c r="C257" s="515"/>
      <c r="D257" s="502"/>
      <c r="E257" s="3387"/>
      <c r="F257" s="3387"/>
      <c r="G257" s="3387"/>
      <c r="H257" s="3496"/>
      <c r="I257" s="3496"/>
      <c r="J257" s="3496"/>
      <c r="K257" s="3496"/>
      <c r="L257" s="520" t="s">
        <v>1304</v>
      </c>
      <c r="M257" s="587">
        <v>22500</v>
      </c>
      <c r="N257" s="3498"/>
      <c r="O257" s="3489"/>
      <c r="P257" s="3489"/>
      <c r="Q257" s="3489"/>
      <c r="R257" s="3489"/>
      <c r="S257" s="3489"/>
      <c r="T257" s="3489"/>
      <c r="U257" s="3489"/>
      <c r="V257" s="3489"/>
      <c r="W257" s="3489"/>
      <c r="X257" s="3489"/>
      <c r="Y257" s="3489"/>
      <c r="Z257" s="3489"/>
      <c r="AA257" s="3390"/>
      <c r="AB257" s="3358"/>
      <c r="AC257" s="576"/>
      <c r="AD257" s="576"/>
      <c r="AE257" s="576"/>
      <c r="AF257" s="576"/>
    </row>
    <row r="258" spans="1:34" ht="20.6">
      <c r="A258" s="515"/>
      <c r="B258" s="515"/>
      <c r="C258" s="515"/>
      <c r="D258" s="502"/>
      <c r="E258" s="3387"/>
      <c r="F258" s="3387"/>
      <c r="G258" s="3387"/>
      <c r="H258" s="3496"/>
      <c r="I258" s="3496"/>
      <c r="J258" s="3496"/>
      <c r="K258" s="3496"/>
      <c r="L258" s="520" t="s">
        <v>1305</v>
      </c>
      <c r="M258" s="587">
        <v>25000</v>
      </c>
      <c r="N258" s="3498"/>
      <c r="O258" s="3489"/>
      <c r="P258" s="3489"/>
      <c r="Q258" s="3489"/>
      <c r="R258" s="3489"/>
      <c r="S258" s="3489"/>
      <c r="T258" s="3489"/>
      <c r="U258" s="3489"/>
      <c r="V258" s="3489"/>
      <c r="W258" s="3489"/>
      <c r="X258" s="3489"/>
      <c r="Y258" s="3489"/>
      <c r="Z258" s="3489"/>
      <c r="AA258" s="3390"/>
      <c r="AB258" s="3358"/>
      <c r="AC258" s="576"/>
      <c r="AD258" s="576"/>
      <c r="AE258" s="576"/>
      <c r="AF258" s="576"/>
    </row>
    <row r="259" spans="1:34" ht="20.6">
      <c r="A259" s="515"/>
      <c r="B259" s="515"/>
      <c r="C259" s="515"/>
      <c r="D259" s="502"/>
      <c r="E259" s="3388"/>
      <c r="F259" s="3388"/>
      <c r="G259" s="3388"/>
      <c r="H259" s="3495"/>
      <c r="I259" s="3495"/>
      <c r="J259" s="3495"/>
      <c r="K259" s="3495"/>
      <c r="L259" s="520" t="s">
        <v>1306</v>
      </c>
      <c r="M259" s="587">
        <v>21000</v>
      </c>
      <c r="N259" s="3499"/>
      <c r="O259" s="3490"/>
      <c r="P259" s="3490"/>
      <c r="Q259" s="3490"/>
      <c r="R259" s="3490"/>
      <c r="S259" s="3490"/>
      <c r="T259" s="3490"/>
      <c r="U259" s="3490"/>
      <c r="V259" s="3490"/>
      <c r="W259" s="3490"/>
      <c r="X259" s="3490"/>
      <c r="Y259" s="3490"/>
      <c r="Z259" s="3490"/>
      <c r="AA259" s="3380"/>
      <c r="AB259" s="3359"/>
      <c r="AC259" s="576"/>
      <c r="AD259" s="576"/>
      <c r="AE259" s="576"/>
      <c r="AF259" s="576"/>
    </row>
    <row r="260" spans="1:34" ht="30.9">
      <c r="A260" s="515"/>
      <c r="B260" s="515"/>
      <c r="C260" s="515"/>
      <c r="D260" s="502"/>
      <c r="E260" s="3393" t="s">
        <v>1307</v>
      </c>
      <c r="F260" s="3393" t="s">
        <v>1308</v>
      </c>
      <c r="G260" s="3393" t="s">
        <v>1309</v>
      </c>
      <c r="H260" s="3481"/>
      <c r="I260" s="3481"/>
      <c r="J260" s="3481" t="s">
        <v>239</v>
      </c>
      <c r="K260" s="3481"/>
      <c r="L260" s="520" t="s">
        <v>1310</v>
      </c>
      <c r="M260" s="587">
        <v>56000</v>
      </c>
      <c r="N260" s="3491"/>
      <c r="O260" s="3488"/>
      <c r="P260" s="3488"/>
      <c r="Q260" s="3488"/>
      <c r="R260" s="3488"/>
      <c r="S260" s="3488"/>
      <c r="T260" s="3488"/>
      <c r="U260" s="3488">
        <v>118400</v>
      </c>
      <c r="V260" s="3488"/>
      <c r="W260" s="3488"/>
      <c r="X260" s="3488"/>
      <c r="Y260" s="3488"/>
      <c r="Z260" s="3488"/>
      <c r="AA260" s="3446" t="s">
        <v>1241</v>
      </c>
      <c r="AB260" s="3437" t="s">
        <v>1244</v>
      </c>
      <c r="AC260" s="576"/>
      <c r="AD260" s="576"/>
      <c r="AE260" s="576"/>
      <c r="AF260" s="576"/>
    </row>
    <row r="261" spans="1:34" ht="20.6">
      <c r="A261" s="515"/>
      <c r="B261" s="515"/>
      <c r="C261" s="515"/>
      <c r="D261" s="502"/>
      <c r="E261" s="3387"/>
      <c r="F261" s="3387"/>
      <c r="G261" s="3387"/>
      <c r="H261" s="3389"/>
      <c r="I261" s="3389"/>
      <c r="J261" s="3389"/>
      <c r="K261" s="3389"/>
      <c r="L261" s="520" t="s">
        <v>1311</v>
      </c>
      <c r="M261" s="587">
        <v>49000</v>
      </c>
      <c r="N261" s="3492"/>
      <c r="O261" s="3489"/>
      <c r="P261" s="3489"/>
      <c r="Q261" s="3489"/>
      <c r="R261" s="3489"/>
      <c r="S261" s="3489"/>
      <c r="T261" s="3489"/>
      <c r="U261" s="3489"/>
      <c r="V261" s="3489"/>
      <c r="W261" s="3489"/>
      <c r="X261" s="3489"/>
      <c r="Y261" s="3489"/>
      <c r="Z261" s="3489"/>
      <c r="AA261" s="3500"/>
      <c r="AB261" s="3438"/>
      <c r="AC261" s="576"/>
      <c r="AD261" s="576"/>
      <c r="AE261" s="576"/>
      <c r="AF261" s="576"/>
    </row>
    <row r="262" spans="1:34" ht="30.9">
      <c r="A262" s="515"/>
      <c r="B262" s="515"/>
      <c r="C262" s="515"/>
      <c r="D262" s="502"/>
      <c r="E262" s="3387"/>
      <c r="F262" s="3387"/>
      <c r="G262" s="3387"/>
      <c r="H262" s="3389"/>
      <c r="I262" s="3389"/>
      <c r="J262" s="3389"/>
      <c r="K262" s="3389"/>
      <c r="L262" s="520" t="s">
        <v>1312</v>
      </c>
      <c r="M262" s="587">
        <v>8400</v>
      </c>
      <c r="N262" s="3492"/>
      <c r="O262" s="3489"/>
      <c r="P262" s="3489"/>
      <c r="Q262" s="3489"/>
      <c r="R262" s="3489"/>
      <c r="S262" s="3489"/>
      <c r="T262" s="3489"/>
      <c r="U262" s="3489"/>
      <c r="V262" s="3489"/>
      <c r="W262" s="3489"/>
      <c r="X262" s="3489"/>
      <c r="Y262" s="3489"/>
      <c r="Z262" s="3489"/>
      <c r="AA262" s="3500"/>
      <c r="AB262" s="3438"/>
      <c r="AC262" s="576"/>
      <c r="AD262" s="576"/>
      <c r="AE262" s="576"/>
      <c r="AF262" s="576"/>
    </row>
    <row r="263" spans="1:34">
      <c r="A263" s="515"/>
      <c r="B263" s="515"/>
      <c r="C263" s="515"/>
      <c r="D263" s="502"/>
      <c r="E263" s="3388"/>
      <c r="F263" s="3388"/>
      <c r="G263" s="3388"/>
      <c r="H263" s="3397"/>
      <c r="I263" s="3397"/>
      <c r="J263" s="3397"/>
      <c r="K263" s="3397"/>
      <c r="L263" s="520" t="s">
        <v>1313</v>
      </c>
      <c r="M263" s="587">
        <v>5000</v>
      </c>
      <c r="N263" s="3493"/>
      <c r="O263" s="3490"/>
      <c r="P263" s="3490"/>
      <c r="Q263" s="3490"/>
      <c r="R263" s="3490"/>
      <c r="S263" s="3490"/>
      <c r="T263" s="3490"/>
      <c r="U263" s="3490"/>
      <c r="V263" s="3490"/>
      <c r="W263" s="3490"/>
      <c r="X263" s="3490"/>
      <c r="Y263" s="3490"/>
      <c r="Z263" s="3490"/>
      <c r="AA263" s="3447"/>
      <c r="AB263" s="3439"/>
      <c r="AC263" s="576"/>
      <c r="AD263" s="576"/>
      <c r="AE263" s="576"/>
      <c r="AF263" s="576"/>
    </row>
    <row r="264" spans="1:34" ht="41.15">
      <c r="A264" s="515"/>
      <c r="B264" s="515"/>
      <c r="C264" s="515"/>
      <c r="D264" s="502"/>
      <c r="E264" s="520" t="s">
        <v>1314</v>
      </c>
      <c r="F264" s="520" t="s">
        <v>1315</v>
      </c>
      <c r="G264" s="520" t="s">
        <v>1316</v>
      </c>
      <c r="H264" s="569"/>
      <c r="I264" s="570" t="s">
        <v>239</v>
      </c>
      <c r="J264" s="569"/>
      <c r="K264" s="458"/>
      <c r="L264" s="520" t="s">
        <v>1317</v>
      </c>
      <c r="M264" s="504">
        <v>15000</v>
      </c>
      <c r="N264" s="504"/>
      <c r="O264" s="504"/>
      <c r="P264" s="504"/>
      <c r="Q264" s="504"/>
      <c r="R264" s="504"/>
      <c r="S264" s="504">
        <v>15000</v>
      </c>
      <c r="T264" s="504"/>
      <c r="U264" s="504"/>
      <c r="V264" s="504"/>
      <c r="W264" s="504"/>
      <c r="X264" s="504"/>
      <c r="Y264" s="504"/>
      <c r="Z264" s="504"/>
      <c r="AA264" s="458" t="s">
        <v>1241</v>
      </c>
      <c r="AB264" s="505" t="s">
        <v>1244</v>
      </c>
      <c r="AC264" s="576"/>
      <c r="AD264" s="576"/>
      <c r="AE264" s="576"/>
      <c r="AF264" s="576"/>
    </row>
    <row r="265" spans="1:34" ht="41.15">
      <c r="A265" s="515"/>
      <c r="B265" s="515"/>
      <c r="C265" s="515"/>
      <c r="D265" s="503"/>
      <c r="E265" s="520" t="s">
        <v>1318</v>
      </c>
      <c r="F265" s="520" t="s">
        <v>1319</v>
      </c>
      <c r="G265" s="520" t="s">
        <v>1320</v>
      </c>
      <c r="H265" s="520"/>
      <c r="I265" s="746"/>
      <c r="J265" s="520" t="s">
        <v>239</v>
      </c>
      <c r="K265" s="746"/>
      <c r="L265" s="520" t="s">
        <v>1321</v>
      </c>
      <c r="M265" s="504">
        <v>31500</v>
      </c>
      <c r="N265" s="587"/>
      <c r="O265" s="587"/>
      <c r="P265" s="587"/>
      <c r="Q265" s="587"/>
      <c r="R265" s="587"/>
      <c r="S265" s="587"/>
      <c r="T265" s="587"/>
      <c r="U265" s="587"/>
      <c r="V265" s="587">
        <v>31500</v>
      </c>
      <c r="W265" s="587"/>
      <c r="X265" s="587"/>
      <c r="Y265" s="587"/>
      <c r="Z265" s="587"/>
      <c r="AA265" s="458" t="s">
        <v>1241</v>
      </c>
      <c r="AB265" s="505" t="s">
        <v>1244</v>
      </c>
      <c r="AC265" s="576"/>
      <c r="AD265" s="576"/>
      <c r="AE265" s="576"/>
      <c r="AF265" s="576"/>
    </row>
    <row r="266" spans="1:34" ht="51.45">
      <c r="A266" s="515"/>
      <c r="B266" s="515"/>
      <c r="C266" s="515"/>
      <c r="D266" s="502"/>
      <c r="E266" s="520" t="s">
        <v>1322</v>
      </c>
      <c r="F266" s="520" t="s">
        <v>1323</v>
      </c>
      <c r="G266" s="520" t="s">
        <v>1324</v>
      </c>
      <c r="H266" s="520"/>
      <c r="I266" s="746"/>
      <c r="J266" s="520"/>
      <c r="K266" s="746" t="s">
        <v>239</v>
      </c>
      <c r="L266" s="520" t="s">
        <v>1325</v>
      </c>
      <c r="M266" s="504">
        <v>35000</v>
      </c>
      <c r="N266" s="587"/>
      <c r="O266" s="587"/>
      <c r="P266" s="587"/>
      <c r="Q266" s="587"/>
      <c r="R266" s="587"/>
      <c r="S266" s="587"/>
      <c r="T266" s="587"/>
      <c r="U266" s="587"/>
      <c r="V266" s="587"/>
      <c r="W266" s="587"/>
      <c r="X266" s="587">
        <v>35000</v>
      </c>
      <c r="Y266" s="587"/>
      <c r="Z266" s="587"/>
      <c r="AA266" s="458" t="s">
        <v>1241</v>
      </c>
      <c r="AB266" s="505" t="s">
        <v>1244</v>
      </c>
      <c r="AC266" s="576"/>
      <c r="AD266" s="576"/>
      <c r="AE266" s="576"/>
      <c r="AF266" s="576"/>
    </row>
    <row r="267" spans="1:34" ht="20.6">
      <c r="A267" s="515"/>
      <c r="B267" s="515"/>
      <c r="C267" s="515"/>
      <c r="D267" s="502"/>
      <c r="E267" s="520" t="s">
        <v>1326</v>
      </c>
      <c r="F267" s="520"/>
      <c r="G267" s="520"/>
      <c r="H267" s="520"/>
      <c r="I267" s="746"/>
      <c r="J267" s="520"/>
      <c r="K267" s="746"/>
      <c r="L267" s="520"/>
      <c r="M267" s="504">
        <v>18600</v>
      </c>
      <c r="N267" s="587"/>
      <c r="O267" s="587"/>
      <c r="P267" s="587"/>
      <c r="Q267" s="587"/>
      <c r="R267" s="587"/>
      <c r="S267" s="587">
        <v>5000</v>
      </c>
      <c r="T267" s="587"/>
      <c r="U267" s="587"/>
      <c r="V267" s="587">
        <v>13600</v>
      </c>
      <c r="W267" s="587"/>
      <c r="X267" s="587"/>
      <c r="Y267" s="587"/>
      <c r="Z267" s="587"/>
      <c r="AA267" s="458" t="s">
        <v>1327</v>
      </c>
      <c r="AB267" s="505" t="s">
        <v>1244</v>
      </c>
      <c r="AC267" s="576"/>
      <c r="AD267" s="576"/>
      <c r="AE267" s="576"/>
      <c r="AF267" s="576"/>
    </row>
    <row r="268" spans="1:34" ht="30.9">
      <c r="A268" s="527"/>
      <c r="B268" s="527"/>
      <c r="C268" s="527"/>
      <c r="D268" s="485"/>
      <c r="E268" s="520" t="s">
        <v>1328</v>
      </c>
      <c r="F268" s="520"/>
      <c r="G268" s="520"/>
      <c r="H268" s="520"/>
      <c r="I268" s="746"/>
      <c r="J268" s="520"/>
      <c r="K268" s="746"/>
      <c r="L268" s="520"/>
      <c r="M268" s="504">
        <v>15000</v>
      </c>
      <c r="N268" s="587"/>
      <c r="O268" s="587"/>
      <c r="P268" s="587"/>
      <c r="Q268" s="587" t="s">
        <v>239</v>
      </c>
      <c r="R268" s="587"/>
      <c r="S268" s="587"/>
      <c r="T268" s="587">
        <v>5000</v>
      </c>
      <c r="U268" s="587" t="s">
        <v>239</v>
      </c>
      <c r="V268" s="587"/>
      <c r="W268" s="587">
        <v>5000</v>
      </c>
      <c r="X268" s="587"/>
      <c r="Y268" s="587"/>
      <c r="Z268" s="587">
        <v>5000</v>
      </c>
      <c r="AA268" s="458" t="s">
        <v>1327</v>
      </c>
      <c r="AB268" s="505" t="s">
        <v>1244</v>
      </c>
      <c r="AC268" s="576"/>
      <c r="AD268" s="576"/>
      <c r="AE268" s="576"/>
      <c r="AF268" s="576"/>
    </row>
    <row r="269" spans="1:34" s="447" customFormat="1" ht="20.05" customHeight="1">
      <c r="A269" s="462">
        <v>3</v>
      </c>
      <c r="B269" s="462">
        <v>4</v>
      </c>
      <c r="C269" s="462">
        <v>10</v>
      </c>
      <c r="D269" s="462">
        <v>41</v>
      </c>
      <c r="E269" s="463" t="s">
        <v>1329</v>
      </c>
      <c r="F269" s="463"/>
      <c r="G269" s="464"/>
      <c r="H269" s="465" t="s">
        <v>239</v>
      </c>
      <c r="I269" s="465" t="s">
        <v>768</v>
      </c>
      <c r="J269" s="465" t="s">
        <v>768</v>
      </c>
      <c r="K269" s="465" t="s">
        <v>768</v>
      </c>
      <c r="L269" s="465"/>
      <c r="M269" s="466"/>
      <c r="N269" s="466">
        <f>SUM(M270:M277)</f>
        <v>184000</v>
      </c>
      <c r="O269" s="466">
        <f>SUM(O270:O277)</f>
        <v>0</v>
      </c>
      <c r="P269" s="466">
        <f t="shared" ref="P269:Z269" si="64">SUM(P270:P277)</f>
        <v>0</v>
      </c>
      <c r="Q269" s="466">
        <f t="shared" si="64"/>
        <v>0</v>
      </c>
      <c r="R269" s="466">
        <f t="shared" si="64"/>
        <v>0</v>
      </c>
      <c r="S269" s="466">
        <f t="shared" si="64"/>
        <v>0</v>
      </c>
      <c r="T269" s="466">
        <f t="shared" si="64"/>
        <v>184000</v>
      </c>
      <c r="U269" s="466">
        <f t="shared" si="64"/>
        <v>0</v>
      </c>
      <c r="V269" s="466">
        <f t="shared" si="64"/>
        <v>0</v>
      </c>
      <c r="W269" s="466">
        <f t="shared" si="64"/>
        <v>0</v>
      </c>
      <c r="X269" s="466">
        <f t="shared" si="64"/>
        <v>0</v>
      </c>
      <c r="Y269" s="466">
        <f t="shared" si="64"/>
        <v>0</v>
      </c>
      <c r="Z269" s="466">
        <f t="shared" si="64"/>
        <v>0</v>
      </c>
      <c r="AA269" s="465" t="s">
        <v>1330</v>
      </c>
      <c r="AB269" s="467" t="s">
        <v>1331</v>
      </c>
      <c r="AC269" s="469">
        <f>SUBTOTAL(9,O269:Q269)</f>
        <v>0</v>
      </c>
      <c r="AD269" s="469">
        <f>SUBTOTAL(9,R269:T269)</f>
        <v>184000</v>
      </c>
      <c r="AE269" s="469">
        <f>SUBTOTAL(9,U269:W269)</f>
        <v>0</v>
      </c>
      <c r="AF269" s="469">
        <f>SUBTOTAL(9,X269:Z269)</f>
        <v>0</v>
      </c>
      <c r="AG269" s="470">
        <f>AC269+AD269+AE269+AF269</f>
        <v>184000</v>
      </c>
      <c r="AH269" s="471">
        <f>N269-AG269</f>
        <v>0</v>
      </c>
    </row>
    <row r="270" spans="1:34" ht="20.6">
      <c r="A270" s="3478"/>
      <c r="B270" s="3478"/>
      <c r="C270" s="3478"/>
      <c r="D270" s="3478"/>
      <c r="E270" s="3370" t="s">
        <v>1332</v>
      </c>
      <c r="F270" s="3393" t="s">
        <v>1333</v>
      </c>
      <c r="G270" s="3393" t="s">
        <v>1334</v>
      </c>
      <c r="H270" s="3418" t="s">
        <v>239</v>
      </c>
      <c r="I270" s="3481" t="s">
        <v>239</v>
      </c>
      <c r="J270" s="3418" t="s">
        <v>239</v>
      </c>
      <c r="K270" s="3481" t="s">
        <v>239</v>
      </c>
      <c r="L270" s="520" t="s">
        <v>1335</v>
      </c>
      <c r="M270" s="492">
        <v>50000</v>
      </c>
      <c r="N270" s="492"/>
      <c r="O270" s="492"/>
      <c r="P270" s="492"/>
      <c r="Q270" s="492"/>
      <c r="R270" s="492"/>
      <c r="S270" s="492"/>
      <c r="T270" s="492">
        <v>50000</v>
      </c>
      <c r="U270" s="492"/>
      <c r="V270" s="492"/>
      <c r="W270" s="492"/>
      <c r="X270" s="492"/>
      <c r="Y270" s="492"/>
      <c r="Z270" s="492"/>
      <c r="AA270" s="3478"/>
      <c r="AB270" s="3485"/>
      <c r="AC270" s="452"/>
      <c r="AD270" s="452"/>
      <c r="AE270" s="452"/>
      <c r="AF270" s="452"/>
    </row>
    <row r="271" spans="1:34" ht="12" customHeight="1">
      <c r="A271" s="3479"/>
      <c r="B271" s="3479"/>
      <c r="C271" s="3479"/>
      <c r="D271" s="3479"/>
      <c r="E271" s="3384"/>
      <c r="F271" s="3387"/>
      <c r="G271" s="3387"/>
      <c r="H271" s="3419"/>
      <c r="I271" s="3389"/>
      <c r="J271" s="3419"/>
      <c r="K271" s="3389"/>
      <c r="L271" s="520" t="s">
        <v>1336</v>
      </c>
      <c r="M271" s="492">
        <v>30000</v>
      </c>
      <c r="N271" s="492"/>
      <c r="O271" s="492"/>
      <c r="P271" s="492"/>
      <c r="Q271" s="492"/>
      <c r="R271" s="492"/>
      <c r="S271" s="492"/>
      <c r="T271" s="492">
        <v>30000</v>
      </c>
      <c r="U271" s="492"/>
      <c r="V271" s="492"/>
      <c r="W271" s="492"/>
      <c r="X271" s="492"/>
      <c r="Y271" s="492"/>
      <c r="Z271" s="492"/>
      <c r="AA271" s="3479"/>
      <c r="AB271" s="3486"/>
      <c r="AC271" s="452"/>
      <c r="AD271" s="452"/>
      <c r="AE271" s="452"/>
      <c r="AF271" s="452"/>
    </row>
    <row r="272" spans="1:34">
      <c r="A272" s="3479"/>
      <c r="B272" s="3479"/>
      <c r="C272" s="3479"/>
      <c r="D272" s="3479"/>
      <c r="E272" s="3384"/>
      <c r="F272" s="3387"/>
      <c r="G272" s="3387"/>
      <c r="H272" s="3419"/>
      <c r="I272" s="3389"/>
      <c r="J272" s="3419"/>
      <c r="K272" s="3389"/>
      <c r="L272" s="520" t="s">
        <v>1337</v>
      </c>
      <c r="M272" s="492">
        <v>50000</v>
      </c>
      <c r="N272" s="492"/>
      <c r="O272" s="492"/>
      <c r="P272" s="492"/>
      <c r="Q272" s="492"/>
      <c r="R272" s="492"/>
      <c r="S272" s="492"/>
      <c r="T272" s="492">
        <v>50000</v>
      </c>
      <c r="U272" s="492"/>
      <c r="V272" s="492"/>
      <c r="W272" s="492"/>
      <c r="X272" s="492"/>
      <c r="Y272" s="492"/>
      <c r="Z272" s="492"/>
      <c r="AA272" s="3479"/>
      <c r="AB272" s="3486"/>
      <c r="AC272" s="452"/>
      <c r="AD272" s="452"/>
      <c r="AE272" s="452"/>
      <c r="AF272" s="452"/>
    </row>
    <row r="273" spans="1:34">
      <c r="A273" s="3479"/>
      <c r="B273" s="3479"/>
      <c r="C273" s="3479"/>
      <c r="D273" s="3479"/>
      <c r="E273" s="3384"/>
      <c r="F273" s="3387"/>
      <c r="G273" s="3387"/>
      <c r="H273" s="3419"/>
      <c r="I273" s="3389"/>
      <c r="J273" s="3419"/>
      <c r="K273" s="3389"/>
      <c r="L273" s="520" t="s">
        <v>1338</v>
      </c>
      <c r="M273" s="492">
        <v>10000</v>
      </c>
      <c r="N273" s="492"/>
      <c r="O273" s="492"/>
      <c r="P273" s="492"/>
      <c r="Q273" s="492"/>
      <c r="R273" s="492"/>
      <c r="S273" s="492"/>
      <c r="T273" s="492">
        <v>10000</v>
      </c>
      <c r="U273" s="492"/>
      <c r="V273" s="492"/>
      <c r="W273" s="492"/>
      <c r="X273" s="492"/>
      <c r="Y273" s="492"/>
      <c r="Z273" s="492"/>
      <c r="AA273" s="3479"/>
      <c r="AB273" s="3486"/>
      <c r="AC273" s="452"/>
      <c r="AD273" s="452"/>
      <c r="AE273" s="452"/>
      <c r="AF273" s="452"/>
    </row>
    <row r="274" spans="1:34">
      <c r="A274" s="3479"/>
      <c r="B274" s="3479"/>
      <c r="C274" s="3479"/>
      <c r="D274" s="3479"/>
      <c r="E274" s="3384"/>
      <c r="F274" s="3387"/>
      <c r="G274" s="3387"/>
      <c r="H274" s="3419"/>
      <c r="I274" s="3389"/>
      <c r="J274" s="3419"/>
      <c r="K274" s="3389"/>
      <c r="L274" s="520" t="s">
        <v>1339</v>
      </c>
      <c r="M274" s="492">
        <v>10000</v>
      </c>
      <c r="N274" s="492"/>
      <c r="O274" s="492"/>
      <c r="P274" s="492"/>
      <c r="Q274" s="492"/>
      <c r="R274" s="492"/>
      <c r="S274" s="492"/>
      <c r="T274" s="492">
        <v>10000</v>
      </c>
      <c r="U274" s="492"/>
      <c r="V274" s="492"/>
      <c r="W274" s="492"/>
      <c r="X274" s="492"/>
      <c r="Y274" s="492"/>
      <c r="Z274" s="492"/>
      <c r="AA274" s="3479"/>
      <c r="AB274" s="3486"/>
      <c r="AC274" s="452"/>
      <c r="AD274" s="452"/>
      <c r="AE274" s="452"/>
      <c r="AF274" s="452"/>
    </row>
    <row r="275" spans="1:34" ht="20.6">
      <c r="A275" s="3479"/>
      <c r="B275" s="3479"/>
      <c r="C275" s="3479"/>
      <c r="D275" s="3479"/>
      <c r="E275" s="3384"/>
      <c r="F275" s="3387"/>
      <c r="G275" s="3387"/>
      <c r="H275" s="3419"/>
      <c r="I275" s="3389"/>
      <c r="J275" s="3419"/>
      <c r="K275" s="3389"/>
      <c r="L275" s="520" t="s">
        <v>1340</v>
      </c>
      <c r="M275" s="492">
        <v>24000</v>
      </c>
      <c r="N275" s="492"/>
      <c r="O275" s="492"/>
      <c r="P275" s="492"/>
      <c r="Q275" s="492"/>
      <c r="R275" s="492"/>
      <c r="S275" s="492"/>
      <c r="T275" s="492">
        <v>24000</v>
      </c>
      <c r="U275" s="492"/>
      <c r="V275" s="492"/>
      <c r="W275" s="492"/>
      <c r="X275" s="492"/>
      <c r="Y275" s="492"/>
      <c r="Z275" s="492"/>
      <c r="AA275" s="3479"/>
      <c r="AB275" s="3486"/>
      <c r="AC275" s="452"/>
      <c r="AD275" s="452"/>
      <c r="AE275" s="452"/>
      <c r="AF275" s="452"/>
    </row>
    <row r="276" spans="1:34" ht="20.6">
      <c r="A276" s="3479"/>
      <c r="B276" s="3479"/>
      <c r="C276" s="3479"/>
      <c r="D276" s="3479"/>
      <c r="E276" s="3384"/>
      <c r="F276" s="3387"/>
      <c r="G276" s="3387"/>
      <c r="H276" s="3419"/>
      <c r="I276" s="3389"/>
      <c r="J276" s="3419"/>
      <c r="K276" s="3389"/>
      <c r="L276" s="520" t="s">
        <v>1341</v>
      </c>
      <c r="M276" s="492">
        <v>10000</v>
      </c>
      <c r="N276" s="492"/>
      <c r="O276" s="492"/>
      <c r="P276" s="492"/>
      <c r="Q276" s="492"/>
      <c r="R276" s="492"/>
      <c r="S276" s="492"/>
      <c r="T276" s="492">
        <v>10000</v>
      </c>
      <c r="U276" s="492"/>
      <c r="V276" s="492"/>
      <c r="W276" s="492"/>
      <c r="X276" s="492"/>
      <c r="Y276" s="492"/>
      <c r="Z276" s="492"/>
      <c r="AA276" s="3479"/>
      <c r="AB276" s="3486"/>
      <c r="AC276" s="452"/>
      <c r="AD276" s="452"/>
      <c r="AE276" s="452"/>
      <c r="AF276" s="452"/>
    </row>
    <row r="277" spans="1:34" ht="20.6">
      <c r="A277" s="3480"/>
      <c r="B277" s="3480"/>
      <c r="C277" s="3480"/>
      <c r="D277" s="3480"/>
      <c r="E277" s="3371"/>
      <c r="F277" s="3388"/>
      <c r="G277" s="3388"/>
      <c r="H277" s="3420"/>
      <c r="I277" s="3397"/>
      <c r="J277" s="3420"/>
      <c r="K277" s="3397"/>
      <c r="L277" s="520" t="s">
        <v>1342</v>
      </c>
      <c r="M277" s="492"/>
      <c r="N277" s="492"/>
      <c r="O277" s="492"/>
      <c r="P277" s="492"/>
      <c r="Q277" s="492"/>
      <c r="R277" s="492"/>
      <c r="S277" s="492"/>
      <c r="T277" s="492"/>
      <c r="U277" s="492"/>
      <c r="V277" s="492"/>
      <c r="W277" s="492"/>
      <c r="X277" s="492"/>
      <c r="Y277" s="492"/>
      <c r="Z277" s="492"/>
      <c r="AA277" s="3480"/>
      <c r="AB277" s="3487"/>
      <c r="AC277" s="452"/>
      <c r="AD277" s="452"/>
      <c r="AE277" s="452"/>
      <c r="AF277" s="452"/>
    </row>
    <row r="278" spans="1:34" s="447" customFormat="1" ht="16" customHeight="1">
      <c r="A278" s="462">
        <v>7</v>
      </c>
      <c r="B278" s="462">
        <v>27</v>
      </c>
      <c r="C278" s="462">
        <v>42</v>
      </c>
      <c r="D278" s="462">
        <v>42</v>
      </c>
      <c r="E278" s="463" t="s">
        <v>1343</v>
      </c>
      <c r="F278" s="463"/>
      <c r="G278" s="464"/>
      <c r="H278" s="465" t="s">
        <v>239</v>
      </c>
      <c r="I278" s="465" t="s">
        <v>239</v>
      </c>
      <c r="J278" s="465" t="s">
        <v>239</v>
      </c>
      <c r="K278" s="465" t="s">
        <v>239</v>
      </c>
      <c r="L278" s="465"/>
      <c r="M278" s="466"/>
      <c r="N278" s="466">
        <f>SUM(M279:M281)</f>
        <v>753708</v>
      </c>
      <c r="O278" s="466">
        <v>62809</v>
      </c>
      <c r="P278" s="466">
        <v>62809</v>
      </c>
      <c r="Q278" s="466">
        <v>62809</v>
      </c>
      <c r="R278" s="466">
        <v>62809</v>
      </c>
      <c r="S278" s="466">
        <v>62809</v>
      </c>
      <c r="T278" s="466">
        <v>62809</v>
      </c>
      <c r="U278" s="466">
        <v>62809</v>
      </c>
      <c r="V278" s="466">
        <v>62809</v>
      </c>
      <c r="W278" s="466">
        <v>62809</v>
      </c>
      <c r="X278" s="466">
        <v>62809</v>
      </c>
      <c r="Y278" s="466">
        <v>62809</v>
      </c>
      <c r="Z278" s="466">
        <v>62809</v>
      </c>
      <c r="AA278" s="465" t="s">
        <v>1241</v>
      </c>
      <c r="AB278" s="467" t="s">
        <v>1331</v>
      </c>
      <c r="AC278" s="469">
        <f>SUBTOTAL(9,O278:Q278)</f>
        <v>188427</v>
      </c>
      <c r="AD278" s="469">
        <f>SUBTOTAL(9,R278:T278)</f>
        <v>188427</v>
      </c>
      <c r="AE278" s="469">
        <f>SUBTOTAL(9,U278:W278)</f>
        <v>188427</v>
      </c>
      <c r="AF278" s="469">
        <f>SUBTOTAL(9,X278:Z278)</f>
        <v>188427</v>
      </c>
      <c r="AG278" s="470">
        <f>AC278+AD278+AE278+AF278</f>
        <v>753708</v>
      </c>
      <c r="AH278" s="471">
        <f>N278-AG278</f>
        <v>0</v>
      </c>
    </row>
    <row r="279" spans="1:34" ht="20.6">
      <c r="A279" s="3478"/>
      <c r="B279" s="3478"/>
      <c r="C279" s="3478"/>
      <c r="D279" s="3478"/>
      <c r="E279" s="3393" t="s">
        <v>1344</v>
      </c>
      <c r="F279" s="3393" t="s">
        <v>1345</v>
      </c>
      <c r="G279" s="3418" t="s">
        <v>1346</v>
      </c>
      <c r="H279" s="3418" t="s">
        <v>239</v>
      </c>
      <c r="I279" s="3481" t="s">
        <v>239</v>
      </c>
      <c r="J279" s="3418" t="s">
        <v>239</v>
      </c>
      <c r="K279" s="3481" t="s">
        <v>239</v>
      </c>
      <c r="L279" s="520" t="s">
        <v>1347</v>
      </c>
      <c r="M279" s="492">
        <f>58700*12</f>
        <v>704400</v>
      </c>
      <c r="N279" s="492"/>
      <c r="O279" s="492">
        <v>62809</v>
      </c>
      <c r="P279" s="492">
        <v>62809</v>
      </c>
      <c r="Q279" s="492">
        <v>62809</v>
      </c>
      <c r="R279" s="492">
        <v>62809</v>
      </c>
      <c r="S279" s="492">
        <v>62809</v>
      </c>
      <c r="T279" s="492">
        <v>62809</v>
      </c>
      <c r="U279" s="492">
        <v>62809</v>
      </c>
      <c r="V279" s="492">
        <v>62809</v>
      </c>
      <c r="W279" s="492">
        <v>62809</v>
      </c>
      <c r="X279" s="492">
        <v>62809</v>
      </c>
      <c r="Y279" s="492">
        <v>62809</v>
      </c>
      <c r="Z279" s="492">
        <v>62809</v>
      </c>
      <c r="AA279" s="3478" t="s">
        <v>1330</v>
      </c>
      <c r="AB279" s="3485"/>
      <c r="AC279" s="452"/>
      <c r="AD279" s="452"/>
      <c r="AE279" s="452"/>
      <c r="AF279" s="452"/>
    </row>
    <row r="280" spans="1:34" ht="20.6">
      <c r="A280" s="3479"/>
      <c r="B280" s="3479"/>
      <c r="C280" s="3479"/>
      <c r="D280" s="3479"/>
      <c r="E280" s="3419"/>
      <c r="F280" s="3387"/>
      <c r="G280" s="3419"/>
      <c r="H280" s="3419"/>
      <c r="I280" s="3389"/>
      <c r="J280" s="3419"/>
      <c r="K280" s="3389"/>
      <c r="L280" s="520" t="s">
        <v>1348</v>
      </c>
      <c r="M280" s="492">
        <f>2935*12</f>
        <v>35220</v>
      </c>
      <c r="N280" s="492"/>
      <c r="O280" s="492"/>
      <c r="P280" s="492"/>
      <c r="Q280" s="492"/>
      <c r="R280" s="492"/>
      <c r="S280" s="492"/>
      <c r="T280" s="492"/>
      <c r="U280" s="492"/>
      <c r="V280" s="492"/>
      <c r="W280" s="492"/>
      <c r="X280" s="492"/>
      <c r="Y280" s="492"/>
      <c r="Z280" s="492"/>
      <c r="AA280" s="3479"/>
      <c r="AB280" s="3486"/>
      <c r="AC280" s="452"/>
      <c r="AD280" s="452"/>
      <c r="AE280" s="452"/>
      <c r="AF280" s="452"/>
    </row>
    <row r="281" spans="1:34" ht="43" customHeight="1">
      <c r="A281" s="3479"/>
      <c r="B281" s="3479"/>
      <c r="C281" s="3479"/>
      <c r="D281" s="3479"/>
      <c r="E281" s="3419"/>
      <c r="F281" s="3387"/>
      <c r="G281" s="3419"/>
      <c r="H281" s="3419"/>
      <c r="I281" s="3389"/>
      <c r="J281" s="3419"/>
      <c r="K281" s="3389"/>
      <c r="L281" s="520" t="s">
        <v>1349</v>
      </c>
      <c r="M281" s="492">
        <f>1174*12</f>
        <v>14088</v>
      </c>
      <c r="N281" s="492"/>
      <c r="O281" s="492"/>
      <c r="P281" s="492"/>
      <c r="Q281" s="492"/>
      <c r="R281" s="492"/>
      <c r="S281" s="492"/>
      <c r="T281" s="492"/>
      <c r="U281" s="492"/>
      <c r="V281" s="492"/>
      <c r="W281" s="492"/>
      <c r="X281" s="492"/>
      <c r="Y281" s="492"/>
      <c r="Z281" s="492"/>
      <c r="AA281" s="3479"/>
      <c r="AB281" s="3486"/>
      <c r="AC281" s="452"/>
      <c r="AD281" s="452"/>
      <c r="AE281" s="452"/>
      <c r="AF281" s="452"/>
    </row>
    <row r="282" spans="1:34" s="447" customFormat="1">
      <c r="A282" s="462">
        <v>1</v>
      </c>
      <c r="B282" s="462">
        <v>3</v>
      </c>
      <c r="C282" s="462">
        <v>4</v>
      </c>
      <c r="D282" s="462">
        <v>43</v>
      </c>
      <c r="E282" s="463" t="s">
        <v>1350</v>
      </c>
      <c r="F282" s="463"/>
      <c r="G282" s="464"/>
      <c r="H282" s="465"/>
      <c r="I282" s="465" t="s">
        <v>768</v>
      </c>
      <c r="J282" s="465" t="s">
        <v>768</v>
      </c>
      <c r="K282" s="465"/>
      <c r="L282" s="465"/>
      <c r="M282" s="466"/>
      <c r="N282" s="466">
        <f>SUM(M283:M290)</f>
        <v>122400</v>
      </c>
      <c r="O282" s="466">
        <f>SUM(O283:O290)</f>
        <v>0</v>
      </c>
      <c r="P282" s="466">
        <f t="shared" ref="P282:Z282" si="65">SUM(P283:P290)</f>
        <v>0</v>
      </c>
      <c r="Q282" s="466">
        <f t="shared" si="65"/>
        <v>0</v>
      </c>
      <c r="R282" s="466">
        <f t="shared" si="65"/>
        <v>0</v>
      </c>
      <c r="S282" s="466">
        <f t="shared" si="65"/>
        <v>51600</v>
      </c>
      <c r="T282" s="466">
        <f t="shared" si="65"/>
        <v>0</v>
      </c>
      <c r="U282" s="466">
        <f t="shared" si="65"/>
        <v>0</v>
      </c>
      <c r="V282" s="466">
        <f t="shared" si="65"/>
        <v>70800</v>
      </c>
      <c r="W282" s="466">
        <f t="shared" si="65"/>
        <v>0</v>
      </c>
      <c r="X282" s="466">
        <f t="shared" si="65"/>
        <v>0</v>
      </c>
      <c r="Y282" s="466">
        <f t="shared" si="65"/>
        <v>0</v>
      </c>
      <c r="Z282" s="466">
        <f t="shared" si="65"/>
        <v>0</v>
      </c>
      <c r="AA282" s="465" t="s">
        <v>1241</v>
      </c>
      <c r="AB282" s="467" t="s">
        <v>1331</v>
      </c>
      <c r="AC282" s="469">
        <f>SUBTOTAL(9,O282:Q282)</f>
        <v>0</v>
      </c>
      <c r="AD282" s="469">
        <v>51600</v>
      </c>
      <c r="AE282" s="469">
        <v>70800</v>
      </c>
      <c r="AF282" s="469">
        <f>SUBTOTAL(9,X282:Z282)</f>
        <v>0</v>
      </c>
      <c r="AG282" s="470">
        <f>AC282+AD282+AE282+AF282</f>
        <v>122400</v>
      </c>
      <c r="AH282" s="471">
        <f>N282-AG282</f>
        <v>0</v>
      </c>
    </row>
    <row r="283" spans="1:34" ht="20.6">
      <c r="A283" s="3478"/>
      <c r="B283" s="3478"/>
      <c r="C283" s="3478"/>
      <c r="D283" s="3478"/>
      <c r="E283" s="3372" t="s">
        <v>1351</v>
      </c>
      <c r="F283" s="3370" t="s">
        <v>1352</v>
      </c>
      <c r="G283" s="3372" t="s">
        <v>1353</v>
      </c>
      <c r="H283" s="3400"/>
      <c r="I283" s="3506" t="s">
        <v>239</v>
      </c>
      <c r="J283" s="3400"/>
      <c r="K283" s="3400"/>
      <c r="L283" s="592" t="s">
        <v>1354</v>
      </c>
      <c r="M283" s="479">
        <f>150*25*2</f>
        <v>7500</v>
      </c>
      <c r="N283" s="3508"/>
      <c r="O283" s="3502"/>
      <c r="P283" s="3502"/>
      <c r="Q283" s="3502"/>
      <c r="R283" s="3502"/>
      <c r="S283" s="3502">
        <f>SUBTOTAL(9,M283:M286)</f>
        <v>51600</v>
      </c>
      <c r="T283" s="3502"/>
      <c r="U283" s="3502"/>
      <c r="V283" s="3502"/>
      <c r="W283" s="3502"/>
      <c r="X283" s="3502"/>
      <c r="Y283" s="3502"/>
      <c r="Z283" s="3502"/>
      <c r="AA283" s="3506"/>
      <c r="AB283" s="3512"/>
      <c r="AC283" s="452"/>
      <c r="AD283" s="452"/>
      <c r="AE283" s="452"/>
      <c r="AF283" s="452"/>
    </row>
    <row r="284" spans="1:34" ht="20.6">
      <c r="A284" s="3479"/>
      <c r="B284" s="3479"/>
      <c r="C284" s="3479"/>
      <c r="D284" s="3479"/>
      <c r="E284" s="3501"/>
      <c r="F284" s="3384"/>
      <c r="G284" s="3501"/>
      <c r="H284" s="3505"/>
      <c r="I284" s="3507"/>
      <c r="J284" s="3505"/>
      <c r="K284" s="3505"/>
      <c r="L284" s="592" t="s">
        <v>1355</v>
      </c>
      <c r="M284" s="479">
        <f>150*70</f>
        <v>10500</v>
      </c>
      <c r="N284" s="3509"/>
      <c r="O284" s="3503"/>
      <c r="P284" s="3503"/>
      <c r="Q284" s="3503"/>
      <c r="R284" s="3503"/>
      <c r="S284" s="3503"/>
      <c r="T284" s="3503"/>
      <c r="U284" s="3503"/>
      <c r="V284" s="3503"/>
      <c r="W284" s="3503"/>
      <c r="X284" s="3503"/>
      <c r="Y284" s="3503"/>
      <c r="Z284" s="3503"/>
      <c r="AA284" s="3507"/>
      <c r="AB284" s="3513"/>
      <c r="AC284" s="452"/>
      <c r="AD284" s="452"/>
      <c r="AE284" s="452"/>
      <c r="AF284" s="452"/>
    </row>
    <row r="285" spans="1:34" ht="20.6">
      <c r="A285" s="3479"/>
      <c r="B285" s="3479"/>
      <c r="C285" s="3479"/>
      <c r="D285" s="3479"/>
      <c r="E285" s="3501"/>
      <c r="F285" s="3384"/>
      <c r="G285" s="3501"/>
      <c r="H285" s="3505"/>
      <c r="I285" s="3507"/>
      <c r="J285" s="3505"/>
      <c r="K285" s="3505"/>
      <c r="L285" s="478" t="s">
        <v>1356</v>
      </c>
      <c r="M285" s="479">
        <f>(2*2*600)*2</f>
        <v>4800</v>
      </c>
      <c r="N285" s="3509"/>
      <c r="O285" s="3503"/>
      <c r="P285" s="3503"/>
      <c r="Q285" s="3503"/>
      <c r="R285" s="3503"/>
      <c r="S285" s="3503"/>
      <c r="T285" s="3503"/>
      <c r="U285" s="3503"/>
      <c r="V285" s="3503"/>
      <c r="W285" s="3503"/>
      <c r="X285" s="3503"/>
      <c r="Y285" s="3503"/>
      <c r="Z285" s="3503"/>
      <c r="AA285" s="3507"/>
      <c r="AB285" s="3513"/>
      <c r="AC285" s="452"/>
      <c r="AD285" s="452"/>
      <c r="AE285" s="452"/>
      <c r="AF285" s="452"/>
    </row>
    <row r="286" spans="1:34" ht="41.15">
      <c r="A286" s="3479"/>
      <c r="B286" s="3479"/>
      <c r="C286" s="3479"/>
      <c r="D286" s="3479"/>
      <c r="E286" s="3501"/>
      <c r="F286" s="3384"/>
      <c r="G286" s="3501"/>
      <c r="H286" s="3505"/>
      <c r="I286" s="3507"/>
      <c r="J286" s="3505"/>
      <c r="K286" s="3505"/>
      <c r="L286" s="478" t="s">
        <v>1357</v>
      </c>
      <c r="M286" s="479">
        <f>6*2*2*600*2</f>
        <v>28800</v>
      </c>
      <c r="N286" s="3510"/>
      <c r="O286" s="3504"/>
      <c r="P286" s="3504"/>
      <c r="Q286" s="3504"/>
      <c r="R286" s="3504"/>
      <c r="S286" s="3504"/>
      <c r="T286" s="3504"/>
      <c r="U286" s="3504"/>
      <c r="V286" s="3504"/>
      <c r="W286" s="3504"/>
      <c r="X286" s="3504"/>
      <c r="Y286" s="3504"/>
      <c r="Z286" s="3504"/>
      <c r="AA286" s="3511"/>
      <c r="AB286" s="3514"/>
      <c r="AC286" s="452"/>
      <c r="AD286" s="452"/>
      <c r="AE286" s="452"/>
      <c r="AF286" s="452"/>
    </row>
    <row r="287" spans="1:34" ht="20.6">
      <c r="A287" s="3479"/>
      <c r="B287" s="3479"/>
      <c r="C287" s="3479"/>
      <c r="D287" s="3479"/>
      <c r="E287" s="3372" t="s">
        <v>1358</v>
      </c>
      <c r="F287" s="3372" t="s">
        <v>1359</v>
      </c>
      <c r="G287" s="3372" t="s">
        <v>1360</v>
      </c>
      <c r="H287" s="3400"/>
      <c r="I287" s="3400"/>
      <c r="J287" s="3506" t="s">
        <v>239</v>
      </c>
      <c r="K287" s="3400"/>
      <c r="L287" s="500" t="s">
        <v>1361</v>
      </c>
      <c r="M287" s="459">
        <f>18*240*5</f>
        <v>21600</v>
      </c>
      <c r="N287" s="3515"/>
      <c r="O287" s="3374"/>
      <c r="P287" s="3374"/>
      <c r="Q287" s="3374"/>
      <c r="R287" s="3374"/>
      <c r="S287" s="3374"/>
      <c r="T287" s="3374"/>
      <c r="U287" s="3374"/>
      <c r="V287" s="3374">
        <f>SUBTOTAL(9,M287:M290)</f>
        <v>70800</v>
      </c>
      <c r="W287" s="3374"/>
      <c r="X287" s="3374"/>
      <c r="Y287" s="3374"/>
      <c r="Z287" s="3374"/>
      <c r="AA287" s="3357"/>
      <c r="AB287" s="3485"/>
      <c r="AC287" s="452"/>
      <c r="AD287" s="452"/>
      <c r="AE287" s="452"/>
      <c r="AF287" s="452"/>
    </row>
    <row r="288" spans="1:34" ht="20.6">
      <c r="A288" s="3479"/>
      <c r="B288" s="3479"/>
      <c r="C288" s="3479"/>
      <c r="D288" s="3479"/>
      <c r="E288" s="3501"/>
      <c r="F288" s="3501"/>
      <c r="G288" s="3501"/>
      <c r="H288" s="3505"/>
      <c r="I288" s="3505"/>
      <c r="J288" s="3507"/>
      <c r="K288" s="3505"/>
      <c r="L288" s="500" t="s">
        <v>1362</v>
      </c>
      <c r="M288" s="459">
        <f>1800*5</f>
        <v>9000</v>
      </c>
      <c r="N288" s="3516"/>
      <c r="O288" s="3375"/>
      <c r="P288" s="3375"/>
      <c r="Q288" s="3375"/>
      <c r="R288" s="3375"/>
      <c r="S288" s="3375"/>
      <c r="T288" s="3375"/>
      <c r="U288" s="3375"/>
      <c r="V288" s="3375"/>
      <c r="W288" s="3375"/>
      <c r="X288" s="3375"/>
      <c r="Y288" s="3375"/>
      <c r="Z288" s="3375"/>
      <c r="AA288" s="3358"/>
      <c r="AB288" s="3486"/>
      <c r="AC288" s="452"/>
      <c r="AD288" s="452"/>
      <c r="AE288" s="452"/>
      <c r="AF288" s="452"/>
    </row>
    <row r="289" spans="1:34">
      <c r="A289" s="3479"/>
      <c r="B289" s="3479"/>
      <c r="C289" s="3479"/>
      <c r="D289" s="3479"/>
      <c r="E289" s="3501"/>
      <c r="F289" s="3501"/>
      <c r="G289" s="3501"/>
      <c r="H289" s="3505"/>
      <c r="I289" s="3505"/>
      <c r="J289" s="3507"/>
      <c r="K289" s="3505"/>
      <c r="L289" s="500" t="s">
        <v>1363</v>
      </c>
      <c r="M289" s="459">
        <v>15000</v>
      </c>
      <c r="N289" s="3516"/>
      <c r="O289" s="3375"/>
      <c r="P289" s="3375"/>
      <c r="Q289" s="3375"/>
      <c r="R289" s="3375"/>
      <c r="S289" s="3375"/>
      <c r="T289" s="3375"/>
      <c r="U289" s="3375"/>
      <c r="V289" s="3375"/>
      <c r="W289" s="3375"/>
      <c r="X289" s="3375"/>
      <c r="Y289" s="3375"/>
      <c r="Z289" s="3375"/>
      <c r="AA289" s="3358"/>
      <c r="AB289" s="3486"/>
      <c r="AC289" s="452"/>
      <c r="AD289" s="452"/>
      <c r="AE289" s="452"/>
      <c r="AF289" s="452"/>
    </row>
    <row r="290" spans="1:34" ht="20.6">
      <c r="A290" s="3479"/>
      <c r="B290" s="3479"/>
      <c r="C290" s="3479"/>
      <c r="D290" s="3479"/>
      <c r="E290" s="3501"/>
      <c r="F290" s="3501"/>
      <c r="G290" s="3501"/>
      <c r="H290" s="3505"/>
      <c r="I290" s="3505"/>
      <c r="J290" s="3507"/>
      <c r="K290" s="3505"/>
      <c r="L290" s="500" t="s">
        <v>1364</v>
      </c>
      <c r="M290" s="459">
        <f>9*1400*2</f>
        <v>25200</v>
      </c>
      <c r="N290" s="3517"/>
      <c r="O290" s="3376"/>
      <c r="P290" s="3376"/>
      <c r="Q290" s="3376"/>
      <c r="R290" s="3376"/>
      <c r="S290" s="3376"/>
      <c r="T290" s="3376"/>
      <c r="U290" s="3376"/>
      <c r="V290" s="3376"/>
      <c r="W290" s="3376"/>
      <c r="X290" s="3376"/>
      <c r="Y290" s="3376"/>
      <c r="Z290" s="3376"/>
      <c r="AA290" s="3359"/>
      <c r="AB290" s="3487"/>
      <c r="AC290" s="452"/>
      <c r="AD290" s="452"/>
      <c r="AE290" s="452"/>
      <c r="AF290" s="452"/>
    </row>
    <row r="291" spans="1:34" s="447" customFormat="1">
      <c r="A291" s="462">
        <v>2</v>
      </c>
      <c r="B291" s="462">
        <v>4</v>
      </c>
      <c r="C291" s="462">
        <v>27</v>
      </c>
      <c r="D291" s="462">
        <v>44</v>
      </c>
      <c r="E291" s="463" t="s">
        <v>1365</v>
      </c>
      <c r="F291" s="463"/>
      <c r="G291" s="464"/>
      <c r="H291" s="465" t="s">
        <v>768</v>
      </c>
      <c r="I291" s="465" t="s">
        <v>768</v>
      </c>
      <c r="J291" s="465" t="s">
        <v>768</v>
      </c>
      <c r="K291" s="465" t="s">
        <v>768</v>
      </c>
      <c r="L291" s="465"/>
      <c r="M291" s="466"/>
      <c r="N291" s="466">
        <f>SUM(M292:M297)</f>
        <v>400000</v>
      </c>
      <c r="O291" s="466">
        <v>0</v>
      </c>
      <c r="P291" s="466">
        <v>0</v>
      </c>
      <c r="Q291" s="466">
        <f>SUM(Q292:Q297)</f>
        <v>100000</v>
      </c>
      <c r="R291" s="466">
        <f t="shared" ref="R291:Y291" si="66">SUM(R292:R297)</f>
        <v>0</v>
      </c>
      <c r="S291" s="466">
        <f>SUM(S292:S297)</f>
        <v>100000</v>
      </c>
      <c r="T291" s="466">
        <f t="shared" si="66"/>
        <v>0</v>
      </c>
      <c r="U291" s="466">
        <f t="shared" si="66"/>
        <v>0</v>
      </c>
      <c r="V291" s="466">
        <f t="shared" si="66"/>
        <v>0</v>
      </c>
      <c r="W291" s="466">
        <f t="shared" si="66"/>
        <v>100000</v>
      </c>
      <c r="X291" s="466">
        <f t="shared" si="66"/>
        <v>0</v>
      </c>
      <c r="Y291" s="466">
        <f t="shared" si="66"/>
        <v>100000</v>
      </c>
      <c r="Z291" s="466"/>
      <c r="AA291" s="465" t="s">
        <v>1241</v>
      </c>
      <c r="AB291" s="467" t="s">
        <v>1366</v>
      </c>
      <c r="AC291" s="469">
        <f>SUBTOTAL(9,O291:Q291)</f>
        <v>100000</v>
      </c>
      <c r="AD291" s="469">
        <f>SUBTOTAL(9,R291:T291)</f>
        <v>100000</v>
      </c>
      <c r="AE291" s="469">
        <f>SUBTOTAL(9,U291:W291)</f>
        <v>100000</v>
      </c>
      <c r="AF291" s="469">
        <f>SUBTOTAL(9,X291:Z291)</f>
        <v>100000</v>
      </c>
      <c r="AG291" s="470">
        <f>AC291+AD291+AE291+AF291</f>
        <v>400000</v>
      </c>
      <c r="AH291" s="471">
        <f>N291-AG291</f>
        <v>0</v>
      </c>
    </row>
    <row r="292" spans="1:34" ht="20.6">
      <c r="A292" s="3523"/>
      <c r="B292" s="3523"/>
      <c r="C292" s="3523"/>
      <c r="D292" s="3524"/>
      <c r="E292" s="3525" t="s">
        <v>1367</v>
      </c>
      <c r="F292" s="3525" t="s">
        <v>1368</v>
      </c>
      <c r="G292" s="3431" t="s">
        <v>1369</v>
      </c>
      <c r="H292" s="3526" t="s">
        <v>768</v>
      </c>
      <c r="I292" s="3526" t="s">
        <v>768</v>
      </c>
      <c r="J292" s="3526" t="s">
        <v>768</v>
      </c>
      <c r="K292" s="3526" t="s">
        <v>768</v>
      </c>
      <c r="L292" s="747" t="s">
        <v>1370</v>
      </c>
      <c r="M292" s="633">
        <f>200*70*11</f>
        <v>154000</v>
      </c>
      <c r="N292" s="479"/>
      <c r="O292" s="633"/>
      <c r="P292" s="633"/>
      <c r="Q292" s="633">
        <f>+M292/4</f>
        <v>38500</v>
      </c>
      <c r="R292" s="633"/>
      <c r="S292" s="633">
        <v>38500</v>
      </c>
      <c r="T292" s="633"/>
      <c r="U292" s="633"/>
      <c r="V292" s="633"/>
      <c r="W292" s="633">
        <v>38500</v>
      </c>
      <c r="X292" s="633"/>
      <c r="Y292" s="633">
        <v>38500</v>
      </c>
      <c r="Z292" s="748"/>
      <c r="AA292" s="3532" t="s">
        <v>2992</v>
      </c>
      <c r="AB292" s="3533"/>
      <c r="AC292" s="452"/>
      <c r="AD292" s="452"/>
      <c r="AE292" s="452"/>
      <c r="AF292" s="452"/>
    </row>
    <row r="293" spans="1:34" ht="20.6">
      <c r="A293" s="3523"/>
      <c r="B293" s="3523"/>
      <c r="C293" s="3523"/>
      <c r="D293" s="3524"/>
      <c r="E293" s="3525"/>
      <c r="F293" s="3525"/>
      <c r="G293" s="3431"/>
      <c r="H293" s="3526"/>
      <c r="I293" s="3526"/>
      <c r="J293" s="3526"/>
      <c r="K293" s="3526"/>
      <c r="L293" s="747" t="s">
        <v>1371</v>
      </c>
      <c r="M293" s="633">
        <f>200*25*8</f>
        <v>40000</v>
      </c>
      <c r="N293" s="479"/>
      <c r="O293" s="633"/>
      <c r="P293" s="633"/>
      <c r="Q293" s="633">
        <v>10000</v>
      </c>
      <c r="R293" s="633"/>
      <c r="S293" s="633">
        <v>10000</v>
      </c>
      <c r="T293" s="633"/>
      <c r="U293" s="633"/>
      <c r="V293" s="633"/>
      <c r="W293" s="633">
        <v>10000</v>
      </c>
      <c r="X293" s="633"/>
      <c r="Y293" s="633">
        <v>10000</v>
      </c>
      <c r="Z293" s="748"/>
      <c r="AA293" s="3532"/>
      <c r="AB293" s="3533"/>
      <c r="AC293" s="452"/>
      <c r="AD293" s="452"/>
      <c r="AE293" s="452"/>
      <c r="AF293" s="452"/>
    </row>
    <row r="294" spans="1:34" ht="20.6">
      <c r="A294" s="3523"/>
      <c r="B294" s="3523"/>
      <c r="C294" s="3523"/>
      <c r="D294" s="3524"/>
      <c r="E294" s="3525"/>
      <c r="F294" s="3525"/>
      <c r="G294" s="3431"/>
      <c r="H294" s="3526"/>
      <c r="I294" s="3526"/>
      <c r="J294" s="3526"/>
      <c r="K294" s="3526"/>
      <c r="L294" s="747" t="s">
        <v>1372</v>
      </c>
      <c r="M294" s="633">
        <v>72000</v>
      </c>
      <c r="N294" s="479"/>
      <c r="O294" s="633"/>
      <c r="P294" s="633"/>
      <c r="Q294" s="633">
        <v>18000</v>
      </c>
      <c r="R294" s="633"/>
      <c r="S294" s="633">
        <v>18000</v>
      </c>
      <c r="T294" s="633"/>
      <c r="U294" s="633"/>
      <c r="V294" s="633"/>
      <c r="W294" s="633">
        <v>18000</v>
      </c>
      <c r="X294" s="633"/>
      <c r="Y294" s="633">
        <v>18000</v>
      </c>
      <c r="Z294" s="748"/>
      <c r="AA294" s="3532"/>
      <c r="AB294" s="3533"/>
      <c r="AC294" s="452"/>
      <c r="AD294" s="452"/>
      <c r="AE294" s="452"/>
      <c r="AF294" s="452"/>
    </row>
    <row r="295" spans="1:34" ht="92.6">
      <c r="A295" s="3523"/>
      <c r="B295" s="3523"/>
      <c r="C295" s="3523"/>
      <c r="D295" s="3524"/>
      <c r="E295" s="3525"/>
      <c r="F295" s="3525"/>
      <c r="G295" s="3431"/>
      <c r="H295" s="3526"/>
      <c r="I295" s="3526"/>
      <c r="J295" s="3526"/>
      <c r="K295" s="3526"/>
      <c r="L295" s="747" t="s">
        <v>1373</v>
      </c>
      <c r="M295" s="633">
        <v>96000</v>
      </c>
      <c r="N295" s="479"/>
      <c r="O295" s="633"/>
      <c r="P295" s="633"/>
      <c r="Q295" s="633">
        <v>24000</v>
      </c>
      <c r="R295" s="633"/>
      <c r="S295" s="633">
        <v>24000</v>
      </c>
      <c r="T295" s="633"/>
      <c r="U295" s="633"/>
      <c r="V295" s="633"/>
      <c r="W295" s="633">
        <v>24000</v>
      </c>
      <c r="X295" s="633"/>
      <c r="Y295" s="633">
        <v>24000</v>
      </c>
      <c r="Z295" s="748"/>
      <c r="AA295" s="3532"/>
      <c r="AB295" s="3533"/>
      <c r="AC295" s="452"/>
      <c r="AD295" s="452"/>
      <c r="AE295" s="452"/>
      <c r="AF295" s="452"/>
    </row>
    <row r="296" spans="1:34" ht="30.9">
      <c r="A296" s="3523"/>
      <c r="B296" s="3523"/>
      <c r="C296" s="3523"/>
      <c r="D296" s="3524"/>
      <c r="E296" s="3525"/>
      <c r="F296" s="3525"/>
      <c r="G296" s="3431"/>
      <c r="H296" s="3526"/>
      <c r="I296" s="3526"/>
      <c r="J296" s="3526"/>
      <c r="K296" s="3526"/>
      <c r="L296" s="747" t="s">
        <v>1374</v>
      </c>
      <c r="M296" s="633">
        <f>2000*4*4</f>
        <v>32000</v>
      </c>
      <c r="N296" s="479"/>
      <c r="O296" s="633"/>
      <c r="P296" s="633"/>
      <c r="Q296" s="633">
        <v>8000</v>
      </c>
      <c r="R296" s="633"/>
      <c r="S296" s="633">
        <v>8000</v>
      </c>
      <c r="T296" s="633"/>
      <c r="U296" s="633"/>
      <c r="V296" s="633"/>
      <c r="W296" s="633">
        <v>8000</v>
      </c>
      <c r="X296" s="633"/>
      <c r="Y296" s="633">
        <v>8000</v>
      </c>
      <c r="Z296" s="748"/>
      <c r="AA296" s="3532"/>
      <c r="AB296" s="3533"/>
      <c r="AC296" s="452"/>
      <c r="AD296" s="452"/>
      <c r="AE296" s="452"/>
      <c r="AF296" s="452"/>
    </row>
    <row r="297" spans="1:34">
      <c r="A297" s="3523"/>
      <c r="B297" s="3523"/>
      <c r="C297" s="3523"/>
      <c r="D297" s="3524"/>
      <c r="E297" s="3525"/>
      <c r="F297" s="3525"/>
      <c r="G297" s="3431"/>
      <c r="H297" s="3526"/>
      <c r="I297" s="3526"/>
      <c r="J297" s="3526"/>
      <c r="K297" s="3526"/>
      <c r="L297" s="749" t="s">
        <v>1375</v>
      </c>
      <c r="M297" s="633">
        <v>6000</v>
      </c>
      <c r="N297" s="479"/>
      <c r="O297" s="633"/>
      <c r="P297" s="633"/>
      <c r="Q297" s="633">
        <v>1500</v>
      </c>
      <c r="R297" s="633"/>
      <c r="S297" s="633">
        <v>1500</v>
      </c>
      <c r="T297" s="633"/>
      <c r="U297" s="633"/>
      <c r="V297" s="633"/>
      <c r="W297" s="633">
        <v>1500</v>
      </c>
      <c r="X297" s="633"/>
      <c r="Y297" s="633">
        <v>1500</v>
      </c>
      <c r="Z297" s="748"/>
      <c r="AA297" s="3532"/>
      <c r="AB297" s="3533"/>
      <c r="AC297" s="452"/>
      <c r="AD297" s="452"/>
      <c r="AE297" s="452"/>
      <c r="AF297" s="452"/>
    </row>
    <row r="298" spans="1:34" s="447" customFormat="1">
      <c r="A298" s="462">
        <v>2</v>
      </c>
      <c r="B298" s="462">
        <v>4</v>
      </c>
      <c r="C298" s="462">
        <v>27</v>
      </c>
      <c r="D298" s="462">
        <v>45</v>
      </c>
      <c r="E298" s="463" t="s">
        <v>1376</v>
      </c>
      <c r="F298" s="463"/>
      <c r="G298" s="464"/>
      <c r="H298" s="465"/>
      <c r="I298" s="465"/>
      <c r="J298" s="465" t="s">
        <v>768</v>
      </c>
      <c r="K298" s="465"/>
      <c r="L298" s="465"/>
      <c r="M298" s="466"/>
      <c r="N298" s="466">
        <f>SUM(M299:M302)</f>
        <v>19440</v>
      </c>
      <c r="O298" s="466">
        <f t="shared" ref="O298:P298" si="67">SUM(O299:O302)</f>
        <v>0</v>
      </c>
      <c r="P298" s="466">
        <f t="shared" si="67"/>
        <v>0</v>
      </c>
      <c r="Q298" s="466">
        <f>SUM(Q299:Q302)</f>
        <v>720</v>
      </c>
      <c r="R298" s="466">
        <f t="shared" ref="R298:W298" si="68">SUM(R299:R302)</f>
        <v>720</v>
      </c>
      <c r="S298" s="466">
        <f t="shared" si="68"/>
        <v>0</v>
      </c>
      <c r="T298" s="466">
        <f t="shared" si="68"/>
        <v>0</v>
      </c>
      <c r="U298" s="466">
        <f t="shared" si="68"/>
        <v>0</v>
      </c>
      <c r="V298" s="466">
        <f t="shared" si="68"/>
        <v>18000</v>
      </c>
      <c r="W298" s="466">
        <f t="shared" si="68"/>
        <v>0</v>
      </c>
      <c r="X298" s="466">
        <f>SUM(X299:X302)</f>
        <v>0</v>
      </c>
      <c r="Y298" s="466">
        <f>SUM(Y299:Y302)</f>
        <v>0</v>
      </c>
      <c r="Z298" s="466">
        <f>SUM(Z299:Z302)</f>
        <v>0</v>
      </c>
      <c r="AA298" s="465" t="s">
        <v>1241</v>
      </c>
      <c r="AB298" s="467" t="s">
        <v>1366</v>
      </c>
      <c r="AC298" s="469">
        <f>SUBTOTAL(9,O298:Q298)</f>
        <v>720</v>
      </c>
      <c r="AD298" s="469">
        <f>SUBTOTAL(9,R298:T298)</f>
        <v>720</v>
      </c>
      <c r="AE298" s="469">
        <f>SUBTOTAL(9,U298:W298)</f>
        <v>18000</v>
      </c>
      <c r="AF298" s="469">
        <f>SUBTOTAL(9,X298:Z298)</f>
        <v>0</v>
      </c>
      <c r="AG298" s="470">
        <f>AC298+AD298+AE298+AF298</f>
        <v>19440</v>
      </c>
      <c r="AH298" s="471">
        <f>N298-AG298</f>
        <v>0</v>
      </c>
    </row>
    <row r="299" spans="1:34" ht="51.45">
      <c r="A299" s="3479"/>
      <c r="B299" s="3479"/>
      <c r="C299" s="3479"/>
      <c r="D299" s="3518"/>
      <c r="E299" s="750" t="s">
        <v>1377</v>
      </c>
      <c r="F299" s="751" t="s">
        <v>1378</v>
      </c>
      <c r="G299" s="751" t="s">
        <v>1379</v>
      </c>
      <c r="H299" s="752"/>
      <c r="I299" s="752"/>
      <c r="J299" s="752" t="s">
        <v>768</v>
      </c>
      <c r="K299" s="752"/>
      <c r="L299" s="753" t="s">
        <v>1380</v>
      </c>
      <c r="M299" s="754"/>
      <c r="N299" s="441"/>
      <c r="O299" s="633"/>
      <c r="P299" s="633"/>
      <c r="Q299" s="633"/>
      <c r="R299" s="633"/>
      <c r="S299" s="633"/>
      <c r="T299" s="492"/>
      <c r="U299" s="633">
        <f>+M299</f>
        <v>0</v>
      </c>
      <c r="V299" s="633"/>
      <c r="W299" s="633"/>
      <c r="X299" s="633"/>
      <c r="Y299" s="633"/>
      <c r="Z299" s="748"/>
      <c r="AA299" s="3520"/>
      <c r="AB299" s="3527"/>
      <c r="AC299" s="452"/>
      <c r="AD299" s="452"/>
      <c r="AE299" s="452"/>
      <c r="AF299" s="452"/>
    </row>
    <row r="300" spans="1:34" ht="20.6">
      <c r="A300" s="3479"/>
      <c r="B300" s="3479"/>
      <c r="C300" s="3479"/>
      <c r="D300" s="3518"/>
      <c r="E300" s="3530" t="s">
        <v>1381</v>
      </c>
      <c r="F300" s="3525" t="s">
        <v>1382</v>
      </c>
      <c r="G300" s="3525" t="s">
        <v>1383</v>
      </c>
      <c r="H300" s="3526"/>
      <c r="I300" s="3526"/>
      <c r="J300" s="3526"/>
      <c r="K300" s="3526"/>
      <c r="L300" s="755" t="s">
        <v>1384</v>
      </c>
      <c r="M300" s="633">
        <f>50*3*70*1</f>
        <v>10500</v>
      </c>
      <c r="N300" s="492"/>
      <c r="O300" s="633"/>
      <c r="P300" s="633"/>
      <c r="Q300" s="633"/>
      <c r="R300" s="633"/>
      <c r="S300" s="633"/>
      <c r="T300" s="633"/>
      <c r="U300" s="633"/>
      <c r="V300" s="587">
        <f>+M300</f>
        <v>10500</v>
      </c>
      <c r="W300" s="587"/>
      <c r="X300" s="587"/>
      <c r="Y300" s="587"/>
      <c r="Z300" s="748"/>
      <c r="AA300" s="3521"/>
      <c r="AB300" s="3528"/>
      <c r="AC300" s="452"/>
      <c r="AD300" s="452"/>
      <c r="AE300" s="452"/>
      <c r="AF300" s="452"/>
    </row>
    <row r="301" spans="1:34" ht="20.6">
      <c r="A301" s="3479"/>
      <c r="B301" s="3479"/>
      <c r="C301" s="3479"/>
      <c r="D301" s="3518"/>
      <c r="E301" s="3531"/>
      <c r="F301" s="3525"/>
      <c r="G301" s="3525"/>
      <c r="H301" s="3526"/>
      <c r="I301" s="3526"/>
      <c r="J301" s="3526"/>
      <c r="K301" s="3526"/>
      <c r="L301" s="755" t="s">
        <v>1385</v>
      </c>
      <c r="M301" s="633">
        <f>50*3*25*2</f>
        <v>7500</v>
      </c>
      <c r="N301" s="492"/>
      <c r="O301" s="633"/>
      <c r="P301" s="633"/>
      <c r="Q301" s="633"/>
      <c r="R301" s="633"/>
      <c r="S301" s="633"/>
      <c r="T301" s="633"/>
      <c r="U301" s="633"/>
      <c r="V301" s="587">
        <f>+M301</f>
        <v>7500</v>
      </c>
      <c r="W301" s="587"/>
      <c r="X301" s="587"/>
      <c r="Y301" s="587"/>
      <c r="Z301" s="748"/>
      <c r="AA301" s="3521"/>
      <c r="AB301" s="3528"/>
      <c r="AC301" s="452"/>
      <c r="AD301" s="452"/>
      <c r="AE301" s="452"/>
      <c r="AF301" s="452"/>
    </row>
    <row r="302" spans="1:34" ht="51.45">
      <c r="A302" s="3480"/>
      <c r="B302" s="3480"/>
      <c r="C302" s="3480"/>
      <c r="D302" s="3519"/>
      <c r="E302" s="756" t="s">
        <v>1386</v>
      </c>
      <c r="F302" s="756" t="s">
        <v>1387</v>
      </c>
      <c r="G302" s="756" t="s">
        <v>1388</v>
      </c>
      <c r="H302" s="757"/>
      <c r="I302" s="758"/>
      <c r="J302" s="757"/>
      <c r="K302" s="758"/>
      <c r="L302" s="755" t="s">
        <v>1389</v>
      </c>
      <c r="M302" s="633">
        <f>120*6*2</f>
        <v>1440</v>
      </c>
      <c r="N302" s="759"/>
      <c r="O302" s="760"/>
      <c r="P302" s="760"/>
      <c r="Q302" s="633">
        <v>720</v>
      </c>
      <c r="R302" s="633">
        <v>720</v>
      </c>
      <c r="S302" s="761"/>
      <c r="T302" s="762"/>
      <c r="U302" s="760"/>
      <c r="V302" s="760"/>
      <c r="W302" s="760"/>
      <c r="X302" s="763"/>
      <c r="Y302" s="760"/>
      <c r="Z302" s="764"/>
      <c r="AA302" s="3522"/>
      <c r="AB302" s="3529"/>
      <c r="AC302" s="452"/>
      <c r="AD302" s="452"/>
      <c r="AE302" s="452"/>
      <c r="AF302" s="452"/>
    </row>
    <row r="303" spans="1:34" s="447" customFormat="1">
      <c r="A303" s="462">
        <v>2</v>
      </c>
      <c r="B303" s="462">
        <v>4</v>
      </c>
      <c r="C303" s="462">
        <v>27</v>
      </c>
      <c r="D303" s="462">
        <v>46</v>
      </c>
      <c r="E303" s="463" t="s">
        <v>1390</v>
      </c>
      <c r="F303" s="463"/>
      <c r="G303" s="464"/>
      <c r="H303" s="465"/>
      <c r="I303" s="465"/>
      <c r="J303" s="465"/>
      <c r="K303" s="465"/>
      <c r="L303" s="465"/>
      <c r="M303" s="466"/>
      <c r="N303" s="466">
        <f>SUM(M304:M305)</f>
        <v>19200</v>
      </c>
      <c r="O303" s="466">
        <f>SUM(O304:O305)</f>
        <v>0</v>
      </c>
      <c r="P303" s="466">
        <f t="shared" ref="P303:Z303" si="69">SUM(P304:P305)</f>
        <v>0</v>
      </c>
      <c r="Q303" s="466">
        <f t="shared" si="69"/>
        <v>0</v>
      </c>
      <c r="R303" s="466">
        <f t="shared" si="69"/>
        <v>0</v>
      </c>
      <c r="S303" s="466">
        <f t="shared" si="69"/>
        <v>0</v>
      </c>
      <c r="T303" s="466">
        <f t="shared" si="69"/>
        <v>0</v>
      </c>
      <c r="U303" s="466">
        <f t="shared" si="69"/>
        <v>0</v>
      </c>
      <c r="V303" s="466">
        <f t="shared" si="69"/>
        <v>0</v>
      </c>
      <c r="W303" s="466">
        <f t="shared" si="69"/>
        <v>0</v>
      </c>
      <c r="X303" s="466">
        <f t="shared" si="69"/>
        <v>19200</v>
      </c>
      <c r="Y303" s="466">
        <f t="shared" si="69"/>
        <v>0</v>
      </c>
      <c r="Z303" s="466">
        <f t="shared" si="69"/>
        <v>0</v>
      </c>
      <c r="AA303" s="465" t="s">
        <v>1241</v>
      </c>
      <c r="AB303" s="467" t="s">
        <v>1366</v>
      </c>
      <c r="AC303" s="469">
        <f>SUBTOTAL(9,O303:Q303)</f>
        <v>0</v>
      </c>
      <c r="AD303" s="469">
        <f>SUBTOTAL(9,R303:T303)</f>
        <v>0</v>
      </c>
      <c r="AE303" s="469">
        <f>SUBTOTAL(9,U303:W303)</f>
        <v>0</v>
      </c>
      <c r="AF303" s="469">
        <f>SUBTOTAL(9,X303:Z303)</f>
        <v>19200</v>
      </c>
      <c r="AG303" s="470">
        <f>AC303+AD303+AE303+AF303</f>
        <v>19200</v>
      </c>
      <c r="AH303" s="471">
        <f>N303-AG303</f>
        <v>0</v>
      </c>
    </row>
    <row r="304" spans="1:34" ht="20.6">
      <c r="A304" s="3479"/>
      <c r="B304" s="3479"/>
      <c r="C304" s="3479"/>
      <c r="D304" s="3520"/>
      <c r="E304" s="3542" t="s">
        <v>1391</v>
      </c>
      <c r="F304" s="3542" t="s">
        <v>1392</v>
      </c>
      <c r="G304" s="3541" t="s">
        <v>1393</v>
      </c>
      <c r="H304" s="3532"/>
      <c r="I304" s="3526"/>
      <c r="J304" s="3532"/>
      <c r="K304" s="3526" t="s">
        <v>768</v>
      </c>
      <c r="L304" s="755" t="s">
        <v>1394</v>
      </c>
      <c r="M304" s="633">
        <f>160*70</f>
        <v>11200</v>
      </c>
      <c r="N304" s="633"/>
      <c r="O304" s="633"/>
      <c r="P304" s="633"/>
      <c r="Q304" s="633"/>
      <c r="R304" s="633"/>
      <c r="S304" s="633"/>
      <c r="T304" s="633"/>
      <c r="U304" s="633"/>
      <c r="V304" s="633"/>
      <c r="W304" s="633"/>
      <c r="X304" s="633">
        <v>11200</v>
      </c>
      <c r="Y304" s="633"/>
      <c r="Z304" s="633"/>
      <c r="AA304" s="3539"/>
      <c r="AB304" s="3534"/>
      <c r="AC304" s="452"/>
      <c r="AD304" s="452"/>
      <c r="AE304" s="452"/>
      <c r="AF304" s="452"/>
    </row>
    <row r="305" spans="1:34" ht="20.6">
      <c r="A305" s="3480"/>
      <c r="B305" s="3480"/>
      <c r="C305" s="3480"/>
      <c r="D305" s="3522"/>
      <c r="E305" s="3542"/>
      <c r="F305" s="3542"/>
      <c r="G305" s="3541"/>
      <c r="H305" s="3532"/>
      <c r="I305" s="3526"/>
      <c r="J305" s="3532"/>
      <c r="K305" s="3526"/>
      <c r="L305" s="755" t="s">
        <v>1395</v>
      </c>
      <c r="M305" s="633">
        <f>160*25*2</f>
        <v>8000</v>
      </c>
      <c r="N305" s="633"/>
      <c r="O305" s="633"/>
      <c r="P305" s="633"/>
      <c r="Q305" s="633"/>
      <c r="R305" s="633"/>
      <c r="S305" s="633"/>
      <c r="T305" s="633"/>
      <c r="U305" s="633"/>
      <c r="V305" s="633"/>
      <c r="W305" s="633"/>
      <c r="X305" s="633">
        <v>8000</v>
      </c>
      <c r="Y305" s="633"/>
      <c r="Z305" s="633"/>
      <c r="AA305" s="3519"/>
      <c r="AB305" s="3535"/>
      <c r="AC305" s="452"/>
      <c r="AD305" s="452"/>
      <c r="AE305" s="452"/>
      <c r="AF305" s="452"/>
    </row>
    <row r="306" spans="1:34" s="447" customFormat="1">
      <c r="A306" s="462">
        <v>2</v>
      </c>
      <c r="B306" s="462">
        <v>4</v>
      </c>
      <c r="C306" s="462">
        <v>27</v>
      </c>
      <c r="D306" s="462">
        <v>47</v>
      </c>
      <c r="E306" s="463" t="s">
        <v>1396</v>
      </c>
      <c r="F306" s="463"/>
      <c r="G306" s="464"/>
      <c r="H306" s="465"/>
      <c r="I306" s="465" t="s">
        <v>768</v>
      </c>
      <c r="J306" s="465"/>
      <c r="K306" s="465"/>
      <c r="L306" s="465"/>
      <c r="M306" s="466"/>
      <c r="N306" s="466">
        <f>SUM(M307:M308)</f>
        <v>9600</v>
      </c>
      <c r="O306" s="466">
        <f>SUM(O307:O308)</f>
        <v>0</v>
      </c>
      <c r="P306" s="466">
        <f t="shared" ref="P306:Z306" si="70">SUM(P307:P308)</f>
        <v>0</v>
      </c>
      <c r="Q306" s="466">
        <f t="shared" si="70"/>
        <v>0</v>
      </c>
      <c r="R306" s="466">
        <f t="shared" si="70"/>
        <v>0</v>
      </c>
      <c r="S306" s="466">
        <f t="shared" si="70"/>
        <v>9600</v>
      </c>
      <c r="T306" s="466">
        <f t="shared" si="70"/>
        <v>0</v>
      </c>
      <c r="U306" s="466">
        <f t="shared" si="70"/>
        <v>0</v>
      </c>
      <c r="V306" s="466">
        <f t="shared" si="70"/>
        <v>0</v>
      </c>
      <c r="W306" s="466">
        <f t="shared" si="70"/>
        <v>0</v>
      </c>
      <c r="X306" s="466">
        <f t="shared" si="70"/>
        <v>0</v>
      </c>
      <c r="Y306" s="466">
        <f t="shared" si="70"/>
        <v>0</v>
      </c>
      <c r="Z306" s="466">
        <f t="shared" si="70"/>
        <v>0</v>
      </c>
      <c r="AA306" s="465" t="s">
        <v>1241</v>
      </c>
      <c r="AB306" s="467" t="s">
        <v>1366</v>
      </c>
      <c r="AC306" s="469">
        <f>SUBTOTAL(9,O306:Q306)</f>
        <v>0</v>
      </c>
      <c r="AD306" s="469">
        <f>SUBTOTAL(9,R306:T306)</f>
        <v>9600</v>
      </c>
      <c r="AE306" s="469">
        <f>SUBTOTAL(9,U306:W306)</f>
        <v>0</v>
      </c>
      <c r="AF306" s="469">
        <f>SUBTOTAL(9,X306:Z306)</f>
        <v>0</v>
      </c>
      <c r="AG306" s="470">
        <f>AC306+AD306+AE306+AF306</f>
        <v>9600</v>
      </c>
      <c r="AH306" s="471">
        <f>N306-AG306</f>
        <v>0</v>
      </c>
    </row>
    <row r="307" spans="1:34" ht="20.6">
      <c r="A307" s="3479"/>
      <c r="B307" s="3479"/>
      <c r="C307" s="3479"/>
      <c r="D307" s="3536"/>
      <c r="E307" s="3538" t="s">
        <v>1397</v>
      </c>
      <c r="F307" s="3530" t="s">
        <v>1398</v>
      </c>
      <c r="G307" s="3393" t="s">
        <v>1399</v>
      </c>
      <c r="H307" s="765"/>
      <c r="I307" s="765" t="s">
        <v>768</v>
      </c>
      <c r="J307" s="765"/>
      <c r="K307" s="765"/>
      <c r="L307" s="766" t="s">
        <v>1400</v>
      </c>
      <c r="M307" s="633">
        <f>80*70</f>
        <v>5600</v>
      </c>
      <c r="N307" s="633"/>
      <c r="O307" s="633"/>
      <c r="P307" s="492"/>
      <c r="Q307" s="633"/>
      <c r="R307" s="633"/>
      <c r="S307" s="633">
        <v>5600</v>
      </c>
      <c r="T307" s="633"/>
      <c r="U307" s="633"/>
      <c r="V307" s="633"/>
      <c r="W307" s="633"/>
      <c r="X307" s="633"/>
      <c r="Y307" s="633"/>
      <c r="Z307" s="633"/>
      <c r="AA307" s="3539"/>
      <c r="AB307" s="3534"/>
      <c r="AC307" s="452"/>
      <c r="AD307" s="452"/>
      <c r="AE307" s="452"/>
      <c r="AF307" s="452"/>
    </row>
    <row r="308" spans="1:34" ht="20.6">
      <c r="A308" s="3479"/>
      <c r="B308" s="3479"/>
      <c r="C308" s="3479"/>
      <c r="D308" s="3537"/>
      <c r="E308" s="3531"/>
      <c r="F308" s="3531"/>
      <c r="G308" s="3388"/>
      <c r="H308" s="767"/>
      <c r="I308" s="767"/>
      <c r="J308" s="767"/>
      <c r="K308" s="767"/>
      <c r="L308" s="766" t="s">
        <v>1401</v>
      </c>
      <c r="M308" s="633">
        <f>80*25*2</f>
        <v>4000</v>
      </c>
      <c r="N308" s="633"/>
      <c r="O308" s="633"/>
      <c r="P308" s="492"/>
      <c r="Q308" s="633"/>
      <c r="R308" s="633"/>
      <c r="S308" s="633">
        <v>4000</v>
      </c>
      <c r="T308" s="633"/>
      <c r="U308" s="633"/>
      <c r="V308" s="633"/>
      <c r="W308" s="633"/>
      <c r="X308" s="633"/>
      <c r="Y308" s="633"/>
      <c r="Z308" s="633"/>
      <c r="AA308" s="3518"/>
      <c r="AB308" s="3540"/>
      <c r="AC308" s="452"/>
      <c r="AD308" s="452"/>
      <c r="AE308" s="452"/>
      <c r="AF308" s="452"/>
    </row>
    <row r="309" spans="1:34" s="769" customFormat="1">
      <c r="A309" s="768">
        <v>7</v>
      </c>
      <c r="B309" s="768">
        <v>27</v>
      </c>
      <c r="C309" s="768">
        <v>42</v>
      </c>
      <c r="D309" s="768">
        <v>48</v>
      </c>
      <c r="E309" s="463" t="s">
        <v>1402</v>
      </c>
      <c r="F309" s="463"/>
      <c r="G309" s="464"/>
      <c r="H309" s="465"/>
      <c r="I309" s="465"/>
      <c r="J309" s="465" t="s">
        <v>239</v>
      </c>
      <c r="K309" s="465"/>
      <c r="L309" s="465"/>
      <c r="M309" s="466"/>
      <c r="N309" s="466">
        <f>SUM(M310:M321)</f>
        <v>202240</v>
      </c>
      <c r="O309" s="466">
        <f>SUM(O310:O321)</f>
        <v>0</v>
      </c>
      <c r="P309" s="466">
        <f t="shared" ref="P309:Z309" si="71">SUM(P310:P321)</f>
        <v>0</v>
      </c>
      <c r="Q309" s="466">
        <f t="shared" si="71"/>
        <v>0</v>
      </c>
      <c r="R309" s="466">
        <f t="shared" si="71"/>
        <v>0</v>
      </c>
      <c r="S309" s="466">
        <f t="shared" si="71"/>
        <v>24840</v>
      </c>
      <c r="T309" s="466">
        <f t="shared" si="71"/>
        <v>0</v>
      </c>
      <c r="U309" s="466">
        <f t="shared" si="71"/>
        <v>0</v>
      </c>
      <c r="V309" s="466">
        <f t="shared" si="71"/>
        <v>177400</v>
      </c>
      <c r="W309" s="466">
        <f t="shared" si="71"/>
        <v>0</v>
      </c>
      <c r="X309" s="466">
        <f t="shared" si="71"/>
        <v>0</v>
      </c>
      <c r="Y309" s="466">
        <f t="shared" si="71"/>
        <v>0</v>
      </c>
      <c r="Z309" s="466">
        <f t="shared" si="71"/>
        <v>0</v>
      </c>
      <c r="AA309" s="465" t="s">
        <v>1241</v>
      </c>
      <c r="AB309" s="467" t="s">
        <v>1366</v>
      </c>
      <c r="AC309" s="469">
        <f>O309+P309+Q309</f>
        <v>0</v>
      </c>
      <c r="AD309" s="469">
        <f>Q309+R309+S309</f>
        <v>24840</v>
      </c>
      <c r="AE309" s="469">
        <f>U309+V309+W309</f>
        <v>177400</v>
      </c>
      <c r="AG309" s="469">
        <f>SUBTOTAL(9,AC309:AE309)</f>
        <v>202240</v>
      </c>
      <c r="AH309" s="471">
        <f>N309-AG309</f>
        <v>0</v>
      </c>
    </row>
    <row r="310" spans="1:34" s="775" customFormat="1" ht="20.6">
      <c r="A310" s="770"/>
      <c r="B310" s="770"/>
      <c r="C310" s="770"/>
      <c r="D310" s="770"/>
      <c r="E310" s="3370" t="s">
        <v>1403</v>
      </c>
      <c r="F310" s="3370" t="s">
        <v>1404</v>
      </c>
      <c r="G310" s="3370" t="s">
        <v>1405</v>
      </c>
      <c r="H310" s="771"/>
      <c r="I310" s="601" t="s">
        <v>239</v>
      </c>
      <c r="J310" s="771"/>
      <c r="K310" s="770"/>
      <c r="L310" s="558" t="s">
        <v>1406</v>
      </c>
      <c r="M310" s="553">
        <f>142*70</f>
        <v>9940</v>
      </c>
      <c r="N310" s="3543"/>
      <c r="O310" s="772"/>
      <c r="P310" s="772"/>
      <c r="Q310" s="772"/>
      <c r="R310" s="772"/>
      <c r="S310" s="772">
        <v>9940</v>
      </c>
      <c r="T310" s="772"/>
      <c r="U310" s="772"/>
      <c r="V310" s="772"/>
      <c r="W310" s="772"/>
      <c r="X310" s="772"/>
      <c r="Y310" s="772"/>
      <c r="Z310" s="772"/>
      <c r="AA310" s="771"/>
      <c r="AB310" s="773"/>
      <c r="AC310" s="774"/>
      <c r="AD310" s="774"/>
      <c r="AE310" s="774"/>
      <c r="AF310" s="774"/>
    </row>
    <row r="311" spans="1:34" s="775" customFormat="1" ht="20.6">
      <c r="A311" s="770"/>
      <c r="B311" s="770"/>
      <c r="C311" s="770"/>
      <c r="D311" s="770"/>
      <c r="E311" s="3384"/>
      <c r="F311" s="3384"/>
      <c r="G311" s="3384"/>
      <c r="H311" s="771"/>
      <c r="I311" s="770"/>
      <c r="J311" s="771"/>
      <c r="K311" s="770"/>
      <c r="L311" s="558" t="s">
        <v>1407</v>
      </c>
      <c r="M311" s="553">
        <f>150*50</f>
        <v>7500</v>
      </c>
      <c r="N311" s="3544"/>
      <c r="O311" s="772"/>
      <c r="P311" s="772"/>
      <c r="Q311" s="772"/>
      <c r="R311" s="772"/>
      <c r="S311" s="772">
        <v>7500</v>
      </c>
      <c r="T311" s="772"/>
      <c r="U311" s="772"/>
      <c r="V311" s="772"/>
      <c r="W311" s="772"/>
      <c r="X311" s="772"/>
      <c r="Y311" s="772"/>
      <c r="Z311" s="772"/>
      <c r="AA311" s="771"/>
      <c r="AB311" s="773"/>
      <c r="AC311" s="774"/>
      <c r="AD311" s="774"/>
      <c r="AE311" s="774"/>
      <c r="AF311" s="774"/>
    </row>
    <row r="312" spans="1:34" s="775" customFormat="1" ht="20.6">
      <c r="A312" s="770"/>
      <c r="B312" s="770"/>
      <c r="C312" s="770"/>
      <c r="D312" s="770"/>
      <c r="E312" s="3384"/>
      <c r="F312" s="3384"/>
      <c r="G312" s="3384"/>
      <c r="H312" s="771"/>
      <c r="I312" s="770"/>
      <c r="J312" s="771"/>
      <c r="K312" s="770"/>
      <c r="L312" s="499" t="s">
        <v>1408</v>
      </c>
      <c r="M312" s="553">
        <f>2*600</f>
        <v>1200</v>
      </c>
      <c r="N312" s="3544"/>
      <c r="O312" s="772"/>
      <c r="P312" s="772"/>
      <c r="Q312" s="772"/>
      <c r="R312" s="772"/>
      <c r="S312" s="772">
        <v>1200</v>
      </c>
      <c r="T312" s="772"/>
      <c r="U312" s="772"/>
      <c r="V312" s="772"/>
      <c r="W312" s="772"/>
      <c r="X312" s="772"/>
      <c r="Y312" s="772"/>
      <c r="Z312" s="772"/>
      <c r="AA312" s="771"/>
      <c r="AB312" s="773"/>
      <c r="AC312" s="774"/>
      <c r="AD312" s="774"/>
      <c r="AE312" s="774"/>
      <c r="AF312" s="774"/>
    </row>
    <row r="313" spans="1:34" s="775" customFormat="1">
      <c r="A313" s="770"/>
      <c r="B313" s="770"/>
      <c r="C313" s="770"/>
      <c r="D313" s="770"/>
      <c r="E313" s="3371"/>
      <c r="F313" s="3384"/>
      <c r="G313" s="3384"/>
      <c r="H313" s="771"/>
      <c r="I313" s="770"/>
      <c r="J313" s="771"/>
      <c r="K313" s="770"/>
      <c r="L313" s="499" t="s">
        <v>1409</v>
      </c>
      <c r="M313" s="553">
        <v>5000</v>
      </c>
      <c r="N313" s="3544"/>
      <c r="O313" s="772"/>
      <c r="P313" s="772"/>
      <c r="Q313" s="772"/>
      <c r="R313" s="772"/>
      <c r="S313" s="772">
        <v>5000</v>
      </c>
      <c r="T313" s="772"/>
      <c r="U313" s="772"/>
      <c r="V313" s="772"/>
      <c r="W313" s="772"/>
      <c r="X313" s="772"/>
      <c r="Y313" s="772"/>
      <c r="Z313" s="772"/>
      <c r="AA313" s="771"/>
      <c r="AB313" s="773"/>
      <c r="AC313" s="774"/>
      <c r="AD313" s="774"/>
      <c r="AE313" s="774"/>
      <c r="AF313" s="774"/>
    </row>
    <row r="314" spans="1:34" s="775" customFormat="1">
      <c r="A314" s="770"/>
      <c r="B314" s="770"/>
      <c r="C314" s="770"/>
      <c r="D314" s="770"/>
      <c r="E314" s="776"/>
      <c r="F314" s="3371"/>
      <c r="G314" s="3371"/>
      <c r="H314" s="771"/>
      <c r="I314" s="770"/>
      <c r="J314" s="771"/>
      <c r="K314" s="770"/>
      <c r="L314" s="558" t="s">
        <v>1410</v>
      </c>
      <c r="M314" s="553">
        <v>1200</v>
      </c>
      <c r="N314" s="3545"/>
      <c r="O314" s="772"/>
      <c r="P314" s="772"/>
      <c r="Q314" s="772"/>
      <c r="R314" s="772"/>
      <c r="S314" s="772">
        <v>1200</v>
      </c>
      <c r="T314" s="772"/>
      <c r="U314" s="772"/>
      <c r="V314" s="772"/>
      <c r="W314" s="772"/>
      <c r="X314" s="772"/>
      <c r="Y314" s="772"/>
      <c r="Z314" s="772"/>
      <c r="AA314" s="771"/>
      <c r="AB314" s="773"/>
      <c r="AC314" s="774"/>
      <c r="AD314" s="774"/>
      <c r="AE314" s="774"/>
      <c r="AF314" s="774"/>
    </row>
    <row r="315" spans="1:34" s="775" customFormat="1" ht="20.6">
      <c r="A315" s="3546"/>
      <c r="B315" s="3546"/>
      <c r="C315" s="3546"/>
      <c r="D315" s="3546"/>
      <c r="E315" s="3370" t="s">
        <v>1411</v>
      </c>
      <c r="F315" s="3370" t="s">
        <v>1412</v>
      </c>
      <c r="G315" s="3370" t="s">
        <v>1413</v>
      </c>
      <c r="H315" s="3546"/>
      <c r="I315" s="3546"/>
      <c r="J315" s="3556" t="s">
        <v>239</v>
      </c>
      <c r="K315" s="3546"/>
      <c r="L315" s="558" t="s">
        <v>1414</v>
      </c>
      <c r="M315" s="553">
        <f>300*400</f>
        <v>120000</v>
      </c>
      <c r="N315" s="3543"/>
      <c r="O315" s="772"/>
      <c r="P315" s="772"/>
      <c r="Q315" s="772"/>
      <c r="R315" s="772"/>
      <c r="S315" s="772"/>
      <c r="T315" s="772"/>
      <c r="U315" s="772"/>
      <c r="V315" s="772">
        <v>120000</v>
      </c>
      <c r="W315" s="777"/>
      <c r="X315" s="777"/>
      <c r="Y315" s="777"/>
      <c r="Z315" s="777"/>
      <c r="AA315" s="3549"/>
      <c r="AB315" s="3551"/>
      <c r="AC315" s="774"/>
      <c r="AD315" s="774"/>
      <c r="AE315" s="774"/>
      <c r="AF315" s="774"/>
    </row>
    <row r="316" spans="1:34" s="775" customFormat="1" ht="20.6">
      <c r="A316" s="3547"/>
      <c r="B316" s="3547"/>
      <c r="C316" s="3547"/>
      <c r="D316" s="3547"/>
      <c r="E316" s="3548"/>
      <c r="F316" s="3384"/>
      <c r="G316" s="3548"/>
      <c r="H316" s="3547"/>
      <c r="I316" s="3547"/>
      <c r="J316" s="3548"/>
      <c r="K316" s="3547"/>
      <c r="L316" s="558" t="s">
        <v>1415</v>
      </c>
      <c r="M316" s="553">
        <f>400*100</f>
        <v>40000</v>
      </c>
      <c r="N316" s="3544"/>
      <c r="O316" s="772"/>
      <c r="P316" s="772"/>
      <c r="Q316" s="772"/>
      <c r="R316" s="772"/>
      <c r="S316" s="772"/>
      <c r="T316" s="772"/>
      <c r="U316" s="772"/>
      <c r="V316" s="772">
        <v>40000</v>
      </c>
      <c r="W316" s="777"/>
      <c r="X316" s="777"/>
      <c r="Y316" s="777"/>
      <c r="Z316" s="777"/>
      <c r="AA316" s="3550"/>
      <c r="AB316" s="3552"/>
      <c r="AC316" s="774"/>
      <c r="AD316" s="774"/>
      <c r="AE316" s="774"/>
      <c r="AF316" s="774"/>
    </row>
    <row r="317" spans="1:34" s="775" customFormat="1" ht="20.6">
      <c r="A317" s="3547"/>
      <c r="B317" s="3547"/>
      <c r="C317" s="3547"/>
      <c r="D317" s="3547"/>
      <c r="E317" s="3548"/>
      <c r="F317" s="3384"/>
      <c r="G317" s="3548"/>
      <c r="H317" s="3547"/>
      <c r="I317" s="3547"/>
      <c r="J317" s="3548"/>
      <c r="K317" s="3547"/>
      <c r="L317" s="558" t="s">
        <v>1416</v>
      </c>
      <c r="M317" s="553">
        <f>2*600</f>
        <v>1200</v>
      </c>
      <c r="N317" s="3544"/>
      <c r="O317" s="772"/>
      <c r="P317" s="772"/>
      <c r="Q317" s="772"/>
      <c r="R317" s="772"/>
      <c r="S317" s="772"/>
      <c r="T317" s="772"/>
      <c r="U317" s="772"/>
      <c r="V317" s="772">
        <v>1200</v>
      </c>
      <c r="W317" s="777"/>
      <c r="X317" s="777"/>
      <c r="Y317" s="777"/>
      <c r="Z317" s="777"/>
      <c r="AA317" s="3550"/>
      <c r="AB317" s="3552"/>
      <c r="AC317" s="774"/>
      <c r="AD317" s="774"/>
      <c r="AE317" s="774"/>
      <c r="AF317" s="774"/>
    </row>
    <row r="318" spans="1:34" s="775" customFormat="1" ht="20.6">
      <c r="A318" s="3547"/>
      <c r="B318" s="3547"/>
      <c r="C318" s="3547"/>
      <c r="D318" s="3547"/>
      <c r="E318" s="3548"/>
      <c r="F318" s="3384"/>
      <c r="G318" s="3548"/>
      <c r="H318" s="3547"/>
      <c r="I318" s="3547"/>
      <c r="J318" s="3548"/>
      <c r="K318" s="3547"/>
      <c r="L318" s="558" t="s">
        <v>1417</v>
      </c>
      <c r="M318" s="553">
        <f>5*600*2</f>
        <v>6000</v>
      </c>
      <c r="N318" s="3544"/>
      <c r="O318" s="772"/>
      <c r="P318" s="772"/>
      <c r="Q318" s="772"/>
      <c r="R318" s="772"/>
      <c r="S318" s="772"/>
      <c r="T318" s="772"/>
      <c r="U318" s="772"/>
      <c r="V318" s="772">
        <v>6000</v>
      </c>
      <c r="W318" s="777"/>
      <c r="X318" s="777"/>
      <c r="Y318" s="777"/>
      <c r="Z318" s="777"/>
      <c r="AA318" s="3550"/>
      <c r="AB318" s="3552"/>
      <c r="AC318" s="774"/>
      <c r="AD318" s="774"/>
      <c r="AE318" s="774"/>
      <c r="AF318" s="774"/>
    </row>
    <row r="319" spans="1:34" s="775" customFormat="1">
      <c r="A319" s="3547"/>
      <c r="B319" s="3547"/>
      <c r="C319" s="3547"/>
      <c r="D319" s="3547"/>
      <c r="E319" s="3548"/>
      <c r="F319" s="3384"/>
      <c r="G319" s="3548"/>
      <c r="H319" s="3547"/>
      <c r="I319" s="3547"/>
      <c r="J319" s="3548"/>
      <c r="K319" s="3547"/>
      <c r="L319" s="558" t="s">
        <v>1418</v>
      </c>
      <c r="M319" s="553">
        <v>1200</v>
      </c>
      <c r="N319" s="3544"/>
      <c r="O319" s="772"/>
      <c r="P319" s="772"/>
      <c r="Q319" s="772"/>
      <c r="R319" s="772"/>
      <c r="S319" s="772"/>
      <c r="T319" s="772"/>
      <c r="U319" s="772"/>
      <c r="V319" s="772">
        <v>1200</v>
      </c>
      <c r="W319" s="777"/>
      <c r="X319" s="777"/>
      <c r="Y319" s="777"/>
      <c r="Z319" s="777"/>
      <c r="AA319" s="3550"/>
      <c r="AB319" s="3552"/>
      <c r="AC319" s="774"/>
      <c r="AD319" s="774"/>
      <c r="AE319" s="774"/>
      <c r="AF319" s="774"/>
    </row>
    <row r="320" spans="1:34" s="775" customFormat="1" ht="20.6">
      <c r="A320" s="3547"/>
      <c r="B320" s="3547"/>
      <c r="C320" s="3547"/>
      <c r="D320" s="3547"/>
      <c r="E320" s="3548"/>
      <c r="F320" s="3384"/>
      <c r="G320" s="3548"/>
      <c r="H320" s="3547"/>
      <c r="I320" s="3547"/>
      <c r="J320" s="3548"/>
      <c r="K320" s="3547"/>
      <c r="L320" s="558" t="s">
        <v>1419</v>
      </c>
      <c r="M320" s="553">
        <v>5000</v>
      </c>
      <c r="N320" s="3544"/>
      <c r="O320" s="772"/>
      <c r="P320" s="772"/>
      <c r="Q320" s="772"/>
      <c r="R320" s="772"/>
      <c r="S320" s="772"/>
      <c r="T320" s="772"/>
      <c r="U320" s="772"/>
      <c r="V320" s="772">
        <v>5000</v>
      </c>
      <c r="W320" s="777"/>
      <c r="X320" s="777"/>
      <c r="Y320" s="777"/>
      <c r="Z320" s="777"/>
      <c r="AA320" s="3550"/>
      <c r="AB320" s="3552"/>
      <c r="AC320" s="774"/>
      <c r="AD320" s="774"/>
      <c r="AE320" s="774"/>
      <c r="AF320" s="774"/>
    </row>
    <row r="321" spans="1:34" s="775" customFormat="1" ht="20.6">
      <c r="A321" s="3547"/>
      <c r="B321" s="3547"/>
      <c r="C321" s="3547"/>
      <c r="D321" s="3547"/>
      <c r="E321" s="3548"/>
      <c r="F321" s="3384"/>
      <c r="G321" s="3548"/>
      <c r="H321" s="3547"/>
      <c r="I321" s="3547"/>
      <c r="J321" s="3548"/>
      <c r="K321" s="3547"/>
      <c r="L321" s="558" t="s">
        <v>1420</v>
      </c>
      <c r="M321" s="553">
        <v>4000</v>
      </c>
      <c r="N321" s="3545"/>
      <c r="O321" s="772"/>
      <c r="P321" s="772"/>
      <c r="Q321" s="772"/>
      <c r="R321" s="772"/>
      <c r="S321" s="772"/>
      <c r="T321" s="772"/>
      <c r="U321" s="772"/>
      <c r="V321" s="772">
        <v>4000</v>
      </c>
      <c r="W321" s="777"/>
      <c r="X321" s="777"/>
      <c r="Y321" s="777"/>
      <c r="Z321" s="777"/>
      <c r="AA321" s="3550"/>
      <c r="AB321" s="3552"/>
      <c r="AC321" s="774"/>
      <c r="AD321" s="774"/>
      <c r="AE321" s="774"/>
      <c r="AF321" s="774"/>
    </row>
    <row r="322" spans="1:34" s="769" customFormat="1">
      <c r="A322" s="768">
        <v>7</v>
      </c>
      <c r="B322" s="768">
        <v>27</v>
      </c>
      <c r="C322" s="768">
        <v>41</v>
      </c>
      <c r="D322" s="768">
        <v>49</v>
      </c>
      <c r="E322" s="463" t="s">
        <v>1421</v>
      </c>
      <c r="F322" s="463"/>
      <c r="G322" s="464"/>
      <c r="H322" s="465"/>
      <c r="I322" s="465"/>
      <c r="J322" s="465"/>
      <c r="K322" s="465"/>
      <c r="L322" s="465"/>
      <c r="M322" s="466"/>
      <c r="N322" s="466">
        <f>SUM(M323:M324)</f>
        <v>9500</v>
      </c>
      <c r="O322" s="466">
        <f>SUM(O323:O324)</f>
        <v>0</v>
      </c>
      <c r="P322" s="466">
        <f t="shared" ref="P322:Z322" si="72">SUM(P323:P324)</f>
        <v>0</v>
      </c>
      <c r="Q322" s="466">
        <f t="shared" si="72"/>
        <v>0</v>
      </c>
      <c r="R322" s="466">
        <f t="shared" si="72"/>
        <v>9500</v>
      </c>
      <c r="S322" s="466">
        <f t="shared" si="72"/>
        <v>0</v>
      </c>
      <c r="T322" s="466">
        <f t="shared" si="72"/>
        <v>0</v>
      </c>
      <c r="U322" s="466">
        <f t="shared" si="72"/>
        <v>0</v>
      </c>
      <c r="V322" s="466">
        <f t="shared" si="72"/>
        <v>0</v>
      </c>
      <c r="W322" s="466">
        <f t="shared" si="72"/>
        <v>0</v>
      </c>
      <c r="X322" s="466">
        <f t="shared" si="72"/>
        <v>0</v>
      </c>
      <c r="Y322" s="466">
        <f t="shared" si="72"/>
        <v>0</v>
      </c>
      <c r="Z322" s="466">
        <f t="shared" si="72"/>
        <v>0</v>
      </c>
      <c r="AA322" s="465" t="s">
        <v>1241</v>
      </c>
      <c r="AB322" s="467" t="s">
        <v>1366</v>
      </c>
      <c r="AC322" s="469">
        <f>SUBTOTAL(9,O322:Q322)</f>
        <v>0</v>
      </c>
      <c r="AD322" s="469">
        <f>SUBTOTAL(9,R322:T322)</f>
        <v>9500</v>
      </c>
      <c r="AE322" s="469">
        <f>SUBTOTAL(9,U322:W322)</f>
        <v>0</v>
      </c>
      <c r="AF322" s="469">
        <f>SUBTOTAL(9,X322:Z322)</f>
        <v>0</v>
      </c>
      <c r="AG322" s="470">
        <f>AC322+AD322+AE322+AF322</f>
        <v>9500</v>
      </c>
      <c r="AH322" s="471">
        <f>N322-AG322</f>
        <v>0</v>
      </c>
    </row>
    <row r="323" spans="1:34" s="447" customFormat="1" ht="20.6">
      <c r="A323" s="3485"/>
      <c r="B323" s="3485"/>
      <c r="C323" s="3485"/>
      <c r="D323" s="3485"/>
      <c r="E323" s="3553" t="s">
        <v>1422</v>
      </c>
      <c r="F323" s="3553" t="s">
        <v>1423</v>
      </c>
      <c r="G323" s="3553" t="s">
        <v>1424</v>
      </c>
      <c r="H323" s="3485"/>
      <c r="I323" s="3485"/>
      <c r="J323" s="3485"/>
      <c r="K323" s="3485"/>
      <c r="L323" s="520" t="s">
        <v>1425</v>
      </c>
      <c r="M323" s="492">
        <f>20*25*5</f>
        <v>2500</v>
      </c>
      <c r="N323" s="492"/>
      <c r="O323" s="492"/>
      <c r="P323" s="492"/>
      <c r="Q323" s="492"/>
      <c r="R323" s="492">
        <v>2500</v>
      </c>
      <c r="S323" s="492"/>
      <c r="T323" s="492"/>
      <c r="U323" s="492"/>
      <c r="V323" s="492"/>
      <c r="W323" s="492"/>
      <c r="X323" s="492"/>
      <c r="Y323" s="492"/>
      <c r="Z323" s="492"/>
      <c r="AA323" s="3485"/>
      <c r="AB323" s="3485"/>
      <c r="AC323" s="778"/>
      <c r="AD323" s="778"/>
      <c r="AE323" s="778"/>
      <c r="AF323" s="778"/>
    </row>
    <row r="324" spans="1:34" s="447" customFormat="1" ht="20.6">
      <c r="A324" s="3486"/>
      <c r="B324" s="3486"/>
      <c r="C324" s="3486"/>
      <c r="D324" s="3486"/>
      <c r="E324" s="3554"/>
      <c r="F324" s="3555"/>
      <c r="G324" s="3555"/>
      <c r="H324" s="3486"/>
      <c r="I324" s="3486"/>
      <c r="J324" s="3486"/>
      <c r="K324" s="3486"/>
      <c r="L324" s="520" t="s">
        <v>1426</v>
      </c>
      <c r="M324" s="492">
        <f>20*70*5</f>
        <v>7000</v>
      </c>
      <c r="N324" s="492"/>
      <c r="O324" s="492"/>
      <c r="P324" s="492"/>
      <c r="Q324" s="492"/>
      <c r="R324" s="492">
        <v>7000</v>
      </c>
      <c r="S324" s="492"/>
      <c r="T324" s="492"/>
      <c r="U324" s="492"/>
      <c r="V324" s="492"/>
      <c r="W324" s="492"/>
      <c r="X324" s="492"/>
      <c r="Y324" s="492"/>
      <c r="Z324" s="492"/>
      <c r="AA324" s="3486"/>
      <c r="AB324" s="3486"/>
      <c r="AC324" s="778"/>
      <c r="AD324" s="778"/>
      <c r="AE324" s="778"/>
      <c r="AF324" s="778"/>
    </row>
    <row r="325" spans="1:34" s="447" customFormat="1">
      <c r="A325" s="462">
        <v>2</v>
      </c>
      <c r="B325" s="462">
        <v>4</v>
      </c>
      <c r="C325" s="462">
        <v>27</v>
      </c>
      <c r="D325" s="462">
        <v>50</v>
      </c>
      <c r="E325" s="463" t="s">
        <v>1427</v>
      </c>
      <c r="F325" s="463"/>
      <c r="G325" s="464"/>
      <c r="H325" s="465"/>
      <c r="I325" s="465"/>
      <c r="J325" s="465"/>
      <c r="K325" s="465"/>
      <c r="L325" s="465"/>
      <c r="M325" s="466"/>
      <c r="N325" s="466">
        <f>SUM(M326:M330)</f>
        <v>138600</v>
      </c>
      <c r="O325" s="466">
        <f>SUM(O326:O330)</f>
        <v>0</v>
      </c>
      <c r="P325" s="466">
        <f t="shared" ref="P325:Z325" si="73">SUM(P326:P330)</f>
        <v>0</v>
      </c>
      <c r="Q325" s="466">
        <f t="shared" si="73"/>
        <v>0</v>
      </c>
      <c r="R325" s="466">
        <f t="shared" si="73"/>
        <v>0</v>
      </c>
      <c r="S325" s="466">
        <f t="shared" si="73"/>
        <v>0</v>
      </c>
      <c r="T325" s="466">
        <f t="shared" si="73"/>
        <v>0</v>
      </c>
      <c r="U325" s="466">
        <f t="shared" si="73"/>
        <v>0</v>
      </c>
      <c r="V325" s="466">
        <f t="shared" si="73"/>
        <v>138600</v>
      </c>
      <c r="W325" s="466">
        <f t="shared" si="73"/>
        <v>0</v>
      </c>
      <c r="X325" s="466">
        <f t="shared" si="73"/>
        <v>0</v>
      </c>
      <c r="Y325" s="466">
        <f t="shared" si="73"/>
        <v>0</v>
      </c>
      <c r="Z325" s="466">
        <f t="shared" si="73"/>
        <v>0</v>
      </c>
      <c r="AA325" s="465" t="s">
        <v>1241</v>
      </c>
      <c r="AB325" s="467" t="s">
        <v>1366</v>
      </c>
      <c r="AC325" s="469">
        <f>SUBTOTAL(9,O325:Q325)</f>
        <v>0</v>
      </c>
      <c r="AD325" s="469">
        <f>SUBTOTAL(9,R325:T325)</f>
        <v>0</v>
      </c>
      <c r="AE325" s="469">
        <f>SUBTOTAL(9,U325:W325)</f>
        <v>138600</v>
      </c>
      <c r="AF325" s="469">
        <f>SUBTOTAL(9,X325:Z325)</f>
        <v>0</v>
      </c>
      <c r="AG325" s="470">
        <f>AC325+AD325+AE325+AF325</f>
        <v>138600</v>
      </c>
      <c r="AH325" s="471">
        <f>N325-AG325</f>
        <v>0</v>
      </c>
    </row>
    <row r="326" spans="1:34" ht="20.6">
      <c r="A326" s="3523"/>
      <c r="B326" s="3523"/>
      <c r="C326" s="3523"/>
      <c r="D326" s="3523"/>
      <c r="E326" s="3393" t="s">
        <v>1428</v>
      </c>
      <c r="F326" s="3561" t="s">
        <v>1429</v>
      </c>
      <c r="G326" s="3561" t="s">
        <v>1430</v>
      </c>
      <c r="H326" s="3523"/>
      <c r="I326" s="3523"/>
      <c r="J326" s="3481" t="s">
        <v>768</v>
      </c>
      <c r="K326" s="3523"/>
      <c r="L326" s="779" t="s">
        <v>1431</v>
      </c>
      <c r="M326" s="492">
        <f>210*70*4</f>
        <v>58800</v>
      </c>
      <c r="N326" s="492"/>
      <c r="O326" s="492"/>
      <c r="P326" s="492"/>
      <c r="Q326" s="492"/>
      <c r="R326" s="492"/>
      <c r="S326" s="492"/>
      <c r="T326" s="492"/>
      <c r="U326" s="492"/>
      <c r="V326" s="492">
        <v>58800</v>
      </c>
      <c r="W326" s="492"/>
      <c r="X326" s="492"/>
      <c r="Y326" s="492"/>
      <c r="Z326" s="492"/>
      <c r="AA326" s="3481"/>
      <c r="AB326" s="3485"/>
      <c r="AC326" s="452"/>
      <c r="AD326" s="452"/>
      <c r="AE326" s="452"/>
      <c r="AF326" s="452"/>
    </row>
    <row r="327" spans="1:34" ht="20.6">
      <c r="A327" s="3523"/>
      <c r="B327" s="3523"/>
      <c r="C327" s="3523"/>
      <c r="D327" s="3523"/>
      <c r="E327" s="3387"/>
      <c r="F327" s="3561"/>
      <c r="G327" s="3561"/>
      <c r="H327" s="3523"/>
      <c r="I327" s="3523"/>
      <c r="J327" s="3389"/>
      <c r="K327" s="3523"/>
      <c r="L327" s="779" t="s">
        <v>1432</v>
      </c>
      <c r="M327" s="492">
        <f>210*25*4</f>
        <v>21000</v>
      </c>
      <c r="N327" s="492"/>
      <c r="O327" s="492"/>
      <c r="P327" s="492"/>
      <c r="Q327" s="492"/>
      <c r="R327" s="492"/>
      <c r="S327" s="492"/>
      <c r="T327" s="492"/>
      <c r="U327" s="492"/>
      <c r="V327" s="492">
        <v>21000</v>
      </c>
      <c r="W327" s="492"/>
      <c r="X327" s="492"/>
      <c r="Y327" s="492"/>
      <c r="Z327" s="492"/>
      <c r="AA327" s="3389"/>
      <c r="AB327" s="3486"/>
      <c r="AC327" s="452"/>
      <c r="AD327" s="452"/>
      <c r="AE327" s="452"/>
      <c r="AF327" s="452"/>
    </row>
    <row r="328" spans="1:34" ht="20.6">
      <c r="A328" s="3523"/>
      <c r="B328" s="3523"/>
      <c r="C328" s="3523"/>
      <c r="D328" s="3523"/>
      <c r="E328" s="3387"/>
      <c r="F328" s="3561"/>
      <c r="G328" s="3561"/>
      <c r="H328" s="3523"/>
      <c r="I328" s="3523"/>
      <c r="J328" s="3389"/>
      <c r="K328" s="3523"/>
      <c r="L328" s="779" t="s">
        <v>1433</v>
      </c>
      <c r="M328" s="492">
        <f>210*120</f>
        <v>25200</v>
      </c>
      <c r="N328" s="492"/>
      <c r="O328" s="492"/>
      <c r="P328" s="492"/>
      <c r="Q328" s="492"/>
      <c r="R328" s="492"/>
      <c r="S328" s="492"/>
      <c r="T328" s="492"/>
      <c r="U328" s="492"/>
      <c r="V328" s="492">
        <v>25200</v>
      </c>
      <c r="W328" s="492"/>
      <c r="X328" s="492"/>
      <c r="Y328" s="492"/>
      <c r="Z328" s="492"/>
      <c r="AA328" s="3389"/>
      <c r="AB328" s="3486"/>
      <c r="AC328" s="452"/>
      <c r="AD328" s="452"/>
      <c r="AE328" s="452"/>
      <c r="AF328" s="452"/>
    </row>
    <row r="329" spans="1:34" ht="30.9">
      <c r="A329" s="3523"/>
      <c r="B329" s="3523"/>
      <c r="C329" s="3523"/>
      <c r="D329" s="3523"/>
      <c r="E329" s="3387"/>
      <c r="F329" s="3561"/>
      <c r="G329" s="3561"/>
      <c r="H329" s="3523"/>
      <c r="I329" s="3523"/>
      <c r="J329" s="3389"/>
      <c r="K329" s="3523"/>
      <c r="L329" s="779" t="s">
        <v>1434</v>
      </c>
      <c r="M329" s="492">
        <f>2000*2*3</f>
        <v>12000</v>
      </c>
      <c r="N329" s="492"/>
      <c r="O329" s="492"/>
      <c r="P329" s="492"/>
      <c r="Q329" s="492"/>
      <c r="R329" s="492"/>
      <c r="S329" s="492"/>
      <c r="T329" s="492"/>
      <c r="U329" s="492"/>
      <c r="V329" s="492">
        <v>12000</v>
      </c>
      <c r="W329" s="492"/>
      <c r="X329" s="492"/>
      <c r="Y329" s="492"/>
      <c r="Z329" s="492"/>
      <c r="AA329" s="3389"/>
      <c r="AB329" s="3486"/>
      <c r="AC329" s="452"/>
      <c r="AD329" s="452"/>
      <c r="AE329" s="452"/>
      <c r="AF329" s="452"/>
    </row>
    <row r="330" spans="1:34" ht="92.6">
      <c r="A330" s="3523"/>
      <c r="B330" s="3523"/>
      <c r="C330" s="3523"/>
      <c r="D330" s="3523"/>
      <c r="E330" s="3388"/>
      <c r="F330" s="3561"/>
      <c r="G330" s="3561"/>
      <c r="H330" s="3523"/>
      <c r="I330" s="3523"/>
      <c r="J330" s="3397"/>
      <c r="K330" s="3523"/>
      <c r="L330" s="779" t="s">
        <v>1435</v>
      </c>
      <c r="M330" s="492">
        <v>21600</v>
      </c>
      <c r="N330" s="492"/>
      <c r="O330" s="492"/>
      <c r="P330" s="492"/>
      <c r="Q330" s="492"/>
      <c r="R330" s="492"/>
      <c r="S330" s="492"/>
      <c r="T330" s="492"/>
      <c r="U330" s="492"/>
      <c r="V330" s="492">
        <v>21600</v>
      </c>
      <c r="W330" s="492"/>
      <c r="X330" s="492"/>
      <c r="Y330" s="492"/>
      <c r="Z330" s="492"/>
      <c r="AA330" s="3397"/>
      <c r="AB330" s="3487"/>
      <c r="AC330" s="452"/>
      <c r="AD330" s="452"/>
      <c r="AE330" s="452"/>
      <c r="AF330" s="452"/>
    </row>
    <row r="331" spans="1:34" s="447" customFormat="1">
      <c r="A331" s="462">
        <v>2</v>
      </c>
      <c r="B331" s="462">
        <v>7</v>
      </c>
      <c r="C331" s="462">
        <v>20</v>
      </c>
      <c r="D331" s="462">
        <v>51</v>
      </c>
      <c r="E331" s="463" t="s">
        <v>1436</v>
      </c>
      <c r="F331" s="463"/>
      <c r="G331" s="464"/>
      <c r="H331" s="465"/>
      <c r="I331" s="465" t="s">
        <v>239</v>
      </c>
      <c r="J331" s="465" t="s">
        <v>239</v>
      </c>
      <c r="K331" s="465" t="s">
        <v>239</v>
      </c>
      <c r="L331" s="465"/>
      <c r="M331" s="466"/>
      <c r="N331" s="466">
        <f>SUM(M332:M333)</f>
        <v>14250</v>
      </c>
      <c r="O331" s="466">
        <f>SUM(O332:O333)</f>
        <v>0</v>
      </c>
      <c r="P331" s="466">
        <f t="shared" ref="P331:Z331" si="74">SUM(P332:P333)</f>
        <v>0</v>
      </c>
      <c r="Q331" s="466">
        <f t="shared" si="74"/>
        <v>0</v>
      </c>
      <c r="R331" s="466">
        <f t="shared" si="74"/>
        <v>0</v>
      </c>
      <c r="S331" s="466">
        <f t="shared" si="74"/>
        <v>4750</v>
      </c>
      <c r="T331" s="466">
        <f t="shared" si="74"/>
        <v>0</v>
      </c>
      <c r="U331" s="466">
        <f t="shared" si="74"/>
        <v>0</v>
      </c>
      <c r="V331" s="466">
        <f t="shared" si="74"/>
        <v>4750</v>
      </c>
      <c r="W331" s="466">
        <f t="shared" si="74"/>
        <v>0</v>
      </c>
      <c r="X331" s="466">
        <f t="shared" si="74"/>
        <v>0</v>
      </c>
      <c r="Y331" s="466">
        <f t="shared" si="74"/>
        <v>4750</v>
      </c>
      <c r="Z331" s="466">
        <f t="shared" si="74"/>
        <v>0</v>
      </c>
      <c r="AA331" s="465" t="s">
        <v>1241</v>
      </c>
      <c r="AB331" s="467" t="s">
        <v>1366</v>
      </c>
      <c r="AC331" s="469">
        <f>O331+P331+Q331</f>
        <v>0</v>
      </c>
      <c r="AD331" s="469">
        <f>+R331+S331+T331</f>
        <v>4750</v>
      </c>
      <c r="AE331" s="469">
        <f>+V331</f>
        <v>4750</v>
      </c>
      <c r="AF331" s="469">
        <f>Y331</f>
        <v>4750</v>
      </c>
      <c r="AG331" s="470">
        <f>AC331+AD331+AE331+AF331</f>
        <v>14250</v>
      </c>
      <c r="AH331" s="471">
        <f>N331-AG331</f>
        <v>0</v>
      </c>
    </row>
    <row r="332" spans="1:34" s="775" customFormat="1" ht="20.6">
      <c r="A332" s="3546"/>
      <c r="B332" s="3546"/>
      <c r="C332" s="3546"/>
      <c r="D332" s="3546"/>
      <c r="E332" s="3558" t="s">
        <v>1436</v>
      </c>
      <c r="F332" s="3558" t="s">
        <v>1437</v>
      </c>
      <c r="G332" s="3370" t="s">
        <v>1438</v>
      </c>
      <c r="H332" s="457"/>
      <c r="I332" s="457"/>
      <c r="J332" s="457"/>
      <c r="K332" s="457"/>
      <c r="L332" s="500" t="s">
        <v>1439</v>
      </c>
      <c r="M332" s="459">
        <f>50*25*3</f>
        <v>3750</v>
      </c>
      <c r="N332" s="3559"/>
      <c r="O332" s="780"/>
      <c r="P332" s="780"/>
      <c r="Q332" s="780"/>
      <c r="R332" s="780"/>
      <c r="S332" s="780">
        <f>M332/3</f>
        <v>1250</v>
      </c>
      <c r="T332" s="780"/>
      <c r="U332" s="780"/>
      <c r="V332" s="780">
        <v>1250</v>
      </c>
      <c r="W332" s="780"/>
      <c r="X332" s="780"/>
      <c r="Y332" s="780">
        <v>1250</v>
      </c>
      <c r="Z332" s="780"/>
      <c r="AA332" s="781"/>
      <c r="AB332" s="782"/>
      <c r="AC332" s="774"/>
      <c r="AD332" s="774"/>
      <c r="AE332" s="774"/>
      <c r="AF332" s="774"/>
    </row>
    <row r="333" spans="1:34" s="775" customFormat="1" ht="20.6">
      <c r="A333" s="3557"/>
      <c r="B333" s="3557"/>
      <c r="C333" s="3557"/>
      <c r="D333" s="3557"/>
      <c r="E333" s="3558"/>
      <c r="F333" s="3558"/>
      <c r="G333" s="3371"/>
      <c r="H333" s="783"/>
      <c r="I333" s="783"/>
      <c r="J333" s="783"/>
      <c r="K333" s="783"/>
      <c r="L333" s="784" t="s">
        <v>1440</v>
      </c>
      <c r="M333" s="780">
        <f>50*70*3</f>
        <v>10500</v>
      </c>
      <c r="N333" s="3560"/>
      <c r="O333" s="785"/>
      <c r="P333" s="785"/>
      <c r="Q333" s="785"/>
      <c r="R333" s="785"/>
      <c r="S333" s="785">
        <f>M333/3</f>
        <v>3500</v>
      </c>
      <c r="T333" s="786"/>
      <c r="U333" s="785"/>
      <c r="V333" s="785">
        <v>3500</v>
      </c>
      <c r="W333" s="785"/>
      <c r="X333" s="785"/>
      <c r="Y333" s="785">
        <v>3500</v>
      </c>
      <c r="Z333" s="785"/>
      <c r="AA333" s="787"/>
      <c r="AB333" s="788"/>
      <c r="AC333" s="774"/>
      <c r="AD333" s="774"/>
      <c r="AE333" s="774"/>
      <c r="AF333" s="774"/>
    </row>
    <row r="334" spans="1:34" s="447" customFormat="1">
      <c r="A334" s="462"/>
      <c r="B334" s="462">
        <v>7</v>
      </c>
      <c r="C334" s="462">
        <v>20</v>
      </c>
      <c r="D334" s="462">
        <v>52</v>
      </c>
      <c r="E334" s="463" t="s">
        <v>1441</v>
      </c>
      <c r="F334" s="463"/>
      <c r="G334" s="464"/>
      <c r="H334" s="465"/>
      <c r="I334" s="465"/>
      <c r="J334" s="465"/>
      <c r="K334" s="465"/>
      <c r="L334" s="465"/>
      <c r="M334" s="466"/>
      <c r="N334" s="466">
        <f>SUM(M335:M337)</f>
        <v>7200</v>
      </c>
      <c r="O334" s="466">
        <f>SUM(O335:O337)</f>
        <v>0</v>
      </c>
      <c r="P334" s="466">
        <f t="shared" ref="P334:Z334" si="75">SUM(P335:P337)</f>
        <v>0</v>
      </c>
      <c r="Q334" s="466">
        <f t="shared" si="75"/>
        <v>0</v>
      </c>
      <c r="R334" s="466">
        <f t="shared" si="75"/>
        <v>0</v>
      </c>
      <c r="S334" s="466">
        <f t="shared" si="75"/>
        <v>0</v>
      </c>
      <c r="T334" s="466">
        <f t="shared" si="75"/>
        <v>0</v>
      </c>
      <c r="U334" s="466">
        <f t="shared" si="75"/>
        <v>0</v>
      </c>
      <c r="V334" s="466">
        <f t="shared" si="75"/>
        <v>7200</v>
      </c>
      <c r="W334" s="466">
        <f t="shared" si="75"/>
        <v>0</v>
      </c>
      <c r="X334" s="466">
        <f t="shared" si="75"/>
        <v>0</v>
      </c>
      <c r="Y334" s="466">
        <f t="shared" si="75"/>
        <v>0</v>
      </c>
      <c r="Z334" s="466">
        <f t="shared" si="75"/>
        <v>0</v>
      </c>
      <c r="AA334" s="465" t="s">
        <v>1241</v>
      </c>
      <c r="AB334" s="467" t="s">
        <v>1366</v>
      </c>
      <c r="AC334" s="469">
        <f>SUBTOTAL(9,O334:Q334)</f>
        <v>0</v>
      </c>
      <c r="AD334" s="469">
        <f>SUBTOTAL(9,R334:T334)</f>
        <v>0</v>
      </c>
      <c r="AE334" s="469">
        <f>SUBTOTAL(9,U334:W334)</f>
        <v>7200</v>
      </c>
      <c r="AF334" s="469">
        <f>SUBTOTAL(9,X334:Z334)</f>
        <v>0</v>
      </c>
      <c r="AG334" s="470">
        <f>AC334+AD334+AE334+AF334</f>
        <v>7200</v>
      </c>
      <c r="AH334" s="471">
        <f>N334-AG334</f>
        <v>0</v>
      </c>
    </row>
    <row r="335" spans="1:34" ht="20.6">
      <c r="A335" s="3478"/>
      <c r="B335" s="3478"/>
      <c r="C335" s="3478"/>
      <c r="D335" s="3478"/>
      <c r="E335" s="3562" t="s">
        <v>1441</v>
      </c>
      <c r="F335" s="3431" t="s">
        <v>1442</v>
      </c>
      <c r="G335" s="3370" t="s">
        <v>1443</v>
      </c>
      <c r="H335" s="3357"/>
      <c r="I335" s="3357"/>
      <c r="J335" s="3357" t="s">
        <v>239</v>
      </c>
      <c r="K335" s="3357"/>
      <c r="L335" s="582" t="s">
        <v>1444</v>
      </c>
      <c r="M335" s="461">
        <v>2500</v>
      </c>
      <c r="N335" s="3488"/>
      <c r="O335" s="459"/>
      <c r="P335" s="459"/>
      <c r="Q335" s="459"/>
      <c r="R335" s="459"/>
      <c r="S335" s="459"/>
      <c r="T335" s="459"/>
      <c r="U335" s="459"/>
      <c r="V335" s="459">
        <f>M335</f>
        <v>2500</v>
      </c>
      <c r="W335" s="459"/>
      <c r="X335" s="459"/>
      <c r="Y335" s="459"/>
      <c r="Z335" s="459"/>
      <c r="AA335" s="517"/>
      <c r="AB335" s="516"/>
      <c r="AC335" s="452"/>
      <c r="AD335" s="452"/>
      <c r="AE335" s="452"/>
      <c r="AF335" s="452"/>
    </row>
    <row r="336" spans="1:34" ht="20.6">
      <c r="A336" s="3479"/>
      <c r="B336" s="3479"/>
      <c r="C336" s="3479"/>
      <c r="D336" s="3479"/>
      <c r="E336" s="3563"/>
      <c r="F336" s="3431"/>
      <c r="G336" s="3384"/>
      <c r="H336" s="3358"/>
      <c r="I336" s="3358"/>
      <c r="J336" s="3358"/>
      <c r="K336" s="3358"/>
      <c r="L336" s="500" t="s">
        <v>1445</v>
      </c>
      <c r="M336" s="459">
        <v>3500</v>
      </c>
      <c r="N336" s="3489"/>
      <c r="O336" s="459"/>
      <c r="P336" s="459"/>
      <c r="Q336" s="459"/>
      <c r="R336" s="459"/>
      <c r="S336" s="459"/>
      <c r="T336" s="459"/>
      <c r="U336" s="459"/>
      <c r="V336" s="459">
        <f>M336</f>
        <v>3500</v>
      </c>
      <c r="W336" s="459"/>
      <c r="X336" s="459"/>
      <c r="Y336" s="459"/>
      <c r="Z336" s="459"/>
      <c r="AA336" s="517"/>
      <c r="AB336" s="516"/>
      <c r="AC336" s="452"/>
      <c r="AD336" s="452"/>
      <c r="AE336" s="452"/>
      <c r="AF336" s="452"/>
    </row>
    <row r="337" spans="1:34" ht="20.6">
      <c r="A337" s="3479"/>
      <c r="B337" s="3479"/>
      <c r="C337" s="3479"/>
      <c r="D337" s="3479"/>
      <c r="E337" s="3563"/>
      <c r="F337" s="3393"/>
      <c r="G337" s="3384"/>
      <c r="H337" s="3358"/>
      <c r="I337" s="3358"/>
      <c r="J337" s="3358"/>
      <c r="K337" s="3358"/>
      <c r="L337" s="784" t="s">
        <v>1446</v>
      </c>
      <c r="M337" s="780">
        <v>1200</v>
      </c>
      <c r="N337" s="3489"/>
      <c r="O337" s="459"/>
      <c r="P337" s="459"/>
      <c r="Q337" s="459"/>
      <c r="R337" s="459"/>
      <c r="S337" s="459"/>
      <c r="T337" s="459"/>
      <c r="U337" s="459"/>
      <c r="V337" s="459">
        <f>M337</f>
        <v>1200</v>
      </c>
      <c r="W337" s="459"/>
      <c r="X337" s="459"/>
      <c r="Y337" s="459"/>
      <c r="Z337" s="459"/>
      <c r="AA337" s="517"/>
      <c r="AB337" s="516"/>
      <c r="AC337" s="452"/>
      <c r="AD337" s="452"/>
      <c r="AE337" s="452"/>
      <c r="AF337" s="452"/>
    </row>
    <row r="338" spans="1:34" s="447" customFormat="1">
      <c r="A338" s="462">
        <v>2</v>
      </c>
      <c r="B338" s="462">
        <v>7</v>
      </c>
      <c r="C338" s="462">
        <v>20</v>
      </c>
      <c r="D338" s="462">
        <v>53</v>
      </c>
      <c r="E338" s="463" t="s">
        <v>1447</v>
      </c>
      <c r="F338" s="463"/>
      <c r="G338" s="464"/>
      <c r="H338" s="465"/>
      <c r="I338" s="465" t="s">
        <v>768</v>
      </c>
      <c r="J338" s="465"/>
      <c r="K338" s="465"/>
      <c r="L338" s="465"/>
      <c r="M338" s="466"/>
      <c r="N338" s="466">
        <f>SUM(M339:M343)</f>
        <v>37300</v>
      </c>
      <c r="O338" s="466">
        <f>SUM(O339:O343)</f>
        <v>0</v>
      </c>
      <c r="P338" s="466">
        <f t="shared" ref="P338:Z338" si="76">SUM(P339:P343)</f>
        <v>0</v>
      </c>
      <c r="Q338" s="466">
        <f t="shared" si="76"/>
        <v>0</v>
      </c>
      <c r="R338" s="466">
        <f t="shared" si="76"/>
        <v>37300</v>
      </c>
      <c r="S338" s="466">
        <f t="shared" si="76"/>
        <v>0</v>
      </c>
      <c r="T338" s="466">
        <f t="shared" si="76"/>
        <v>0</v>
      </c>
      <c r="U338" s="466">
        <f t="shared" si="76"/>
        <v>0</v>
      </c>
      <c r="V338" s="466">
        <f t="shared" si="76"/>
        <v>0</v>
      </c>
      <c r="W338" s="466">
        <f t="shared" si="76"/>
        <v>0</v>
      </c>
      <c r="X338" s="466">
        <f t="shared" si="76"/>
        <v>0</v>
      </c>
      <c r="Y338" s="466">
        <f t="shared" si="76"/>
        <v>0</v>
      </c>
      <c r="Z338" s="466">
        <f t="shared" si="76"/>
        <v>0</v>
      </c>
      <c r="AA338" s="465" t="s">
        <v>1241</v>
      </c>
      <c r="AB338" s="467" t="s">
        <v>1366</v>
      </c>
      <c r="AC338" s="469">
        <f>SUBTOTAL(9,O338:Q338)</f>
        <v>0</v>
      </c>
      <c r="AD338" s="469">
        <f>SUBTOTAL(9,R338:T338)</f>
        <v>37300</v>
      </c>
      <c r="AE338" s="469">
        <f>SUBTOTAL(9,U338:W338)</f>
        <v>0</v>
      </c>
      <c r="AF338" s="469">
        <f>SUBTOTAL(9,X338:Z338)</f>
        <v>0</v>
      </c>
      <c r="AG338" s="470">
        <f>AC338+AD338+AE338+AF338</f>
        <v>37300</v>
      </c>
      <c r="AH338" s="471">
        <f>N338-AG338</f>
        <v>0</v>
      </c>
    </row>
    <row r="339" spans="1:34" ht="20.6">
      <c r="A339" s="3481"/>
      <c r="B339" s="3481"/>
      <c r="C339" s="3481"/>
      <c r="D339" s="3481"/>
      <c r="E339" s="3393" t="s">
        <v>1447</v>
      </c>
      <c r="F339" s="3393" t="s">
        <v>1448</v>
      </c>
      <c r="G339" s="3393" t="s">
        <v>1449</v>
      </c>
      <c r="H339" s="3494"/>
      <c r="I339" s="3354" t="s">
        <v>239</v>
      </c>
      <c r="J339" s="3494"/>
      <c r="K339" s="3494"/>
      <c r="L339" s="520" t="s">
        <v>1450</v>
      </c>
      <c r="M339" s="504">
        <v>6500</v>
      </c>
      <c r="N339" s="3491"/>
      <c r="O339" s="789"/>
      <c r="P339" s="789"/>
      <c r="Q339" s="789"/>
      <c r="R339" s="790">
        <f>M339</f>
        <v>6500</v>
      </c>
      <c r="S339" s="790"/>
      <c r="T339" s="789"/>
      <c r="U339" s="789"/>
      <c r="V339" s="789"/>
      <c r="W339" s="789"/>
      <c r="X339" s="789"/>
      <c r="Y339" s="789"/>
      <c r="Z339" s="789"/>
      <c r="AA339" s="791"/>
      <c r="AB339" s="792"/>
      <c r="AC339" s="452"/>
      <c r="AD339" s="452"/>
      <c r="AE339" s="452"/>
      <c r="AF339" s="452"/>
    </row>
    <row r="340" spans="1:34" ht="20.6">
      <c r="A340" s="3389"/>
      <c r="B340" s="3389"/>
      <c r="C340" s="3389"/>
      <c r="D340" s="3389"/>
      <c r="E340" s="3387"/>
      <c r="F340" s="3387"/>
      <c r="G340" s="3387"/>
      <c r="H340" s="3496"/>
      <c r="I340" s="3355"/>
      <c r="J340" s="3496"/>
      <c r="K340" s="3496"/>
      <c r="L340" s="520" t="s">
        <v>1451</v>
      </c>
      <c r="M340" s="504">
        <v>9100</v>
      </c>
      <c r="N340" s="3492"/>
      <c r="O340" s="789"/>
      <c r="P340" s="789"/>
      <c r="Q340" s="789"/>
      <c r="R340" s="790">
        <f t="shared" ref="R340:R343" si="77">M340</f>
        <v>9100</v>
      </c>
      <c r="S340" s="790"/>
      <c r="T340" s="789"/>
      <c r="U340" s="789"/>
      <c r="V340" s="789"/>
      <c r="W340" s="789"/>
      <c r="X340" s="789"/>
      <c r="Y340" s="789"/>
      <c r="Z340" s="789"/>
      <c r="AA340" s="793"/>
      <c r="AB340" s="794"/>
      <c r="AC340" s="452"/>
      <c r="AD340" s="452"/>
      <c r="AE340" s="452"/>
      <c r="AF340" s="452"/>
    </row>
    <row r="341" spans="1:34" ht="20.6">
      <c r="A341" s="3389"/>
      <c r="B341" s="3389"/>
      <c r="C341" s="3389"/>
      <c r="D341" s="3389"/>
      <c r="E341" s="3387"/>
      <c r="F341" s="3387"/>
      <c r="G341" s="3387"/>
      <c r="H341" s="3496"/>
      <c r="I341" s="3355"/>
      <c r="J341" s="3496"/>
      <c r="K341" s="3496"/>
      <c r="L341" s="500" t="s">
        <v>1452</v>
      </c>
      <c r="M341" s="459">
        <f>4*600</f>
        <v>2400</v>
      </c>
      <c r="N341" s="3492"/>
      <c r="O341" s="789"/>
      <c r="P341" s="789"/>
      <c r="Q341" s="789"/>
      <c r="R341" s="790">
        <f t="shared" si="77"/>
        <v>2400</v>
      </c>
      <c r="S341" s="790"/>
      <c r="T341" s="789"/>
      <c r="U341" s="789"/>
      <c r="V341" s="789"/>
      <c r="W341" s="789"/>
      <c r="X341" s="789"/>
      <c r="Y341" s="789"/>
      <c r="Z341" s="789"/>
      <c r="AA341" s="793"/>
      <c r="AB341" s="794"/>
      <c r="AC341" s="452"/>
      <c r="AD341" s="452"/>
      <c r="AE341" s="452"/>
      <c r="AF341" s="452"/>
    </row>
    <row r="342" spans="1:34" ht="20.6">
      <c r="A342" s="3389"/>
      <c r="B342" s="3389"/>
      <c r="C342" s="3389"/>
      <c r="D342" s="3389"/>
      <c r="E342" s="3387"/>
      <c r="F342" s="3387"/>
      <c r="G342" s="3387"/>
      <c r="H342" s="3496"/>
      <c r="I342" s="3355"/>
      <c r="J342" s="3496"/>
      <c r="K342" s="3496"/>
      <c r="L342" s="500" t="s">
        <v>1453</v>
      </c>
      <c r="M342" s="459">
        <f>3*2*5*600</f>
        <v>18000</v>
      </c>
      <c r="N342" s="3492"/>
      <c r="O342" s="789"/>
      <c r="P342" s="789"/>
      <c r="Q342" s="789"/>
      <c r="R342" s="790">
        <f t="shared" si="77"/>
        <v>18000</v>
      </c>
      <c r="S342" s="790"/>
      <c r="T342" s="789"/>
      <c r="U342" s="789"/>
      <c r="V342" s="789"/>
      <c r="W342" s="789"/>
      <c r="X342" s="789"/>
      <c r="Y342" s="789"/>
      <c r="Z342" s="789"/>
      <c r="AA342" s="793"/>
      <c r="AB342" s="794"/>
      <c r="AC342" s="452"/>
      <c r="AD342" s="452"/>
      <c r="AE342" s="452"/>
      <c r="AF342" s="452"/>
    </row>
    <row r="343" spans="1:34">
      <c r="A343" s="3397"/>
      <c r="B343" s="3397"/>
      <c r="C343" s="3397"/>
      <c r="D343" s="3397"/>
      <c r="E343" s="3388"/>
      <c r="F343" s="3388"/>
      <c r="G343" s="3388"/>
      <c r="H343" s="3495"/>
      <c r="I343" s="3356"/>
      <c r="J343" s="3495"/>
      <c r="K343" s="3495"/>
      <c r="L343" s="500" t="s">
        <v>1454</v>
      </c>
      <c r="M343" s="459">
        <v>1300</v>
      </c>
      <c r="N343" s="3493"/>
      <c r="O343" s="789"/>
      <c r="P343" s="789"/>
      <c r="Q343" s="789"/>
      <c r="R343" s="790">
        <f t="shared" si="77"/>
        <v>1300</v>
      </c>
      <c r="S343" s="790"/>
      <c r="T343" s="789"/>
      <c r="U343" s="789"/>
      <c r="V343" s="789"/>
      <c r="W343" s="789"/>
      <c r="X343" s="789"/>
      <c r="Y343" s="789"/>
      <c r="Z343" s="789"/>
      <c r="AA343" s="795"/>
      <c r="AB343" s="703"/>
      <c r="AC343" s="452"/>
      <c r="AD343" s="452"/>
      <c r="AE343" s="452"/>
      <c r="AF343" s="452"/>
    </row>
    <row r="344" spans="1:34" s="447" customFormat="1">
      <c r="A344" s="462"/>
      <c r="B344" s="462"/>
      <c r="C344" s="462"/>
      <c r="D344" s="462">
        <v>54</v>
      </c>
      <c r="E344" s="463" t="s">
        <v>1455</v>
      </c>
      <c r="F344" s="463"/>
      <c r="G344" s="464"/>
      <c r="H344" s="465"/>
      <c r="I344" s="465"/>
      <c r="J344" s="465"/>
      <c r="K344" s="465"/>
      <c r="L344" s="465"/>
      <c r="M344" s="466"/>
      <c r="N344" s="466"/>
      <c r="O344" s="466"/>
      <c r="P344" s="466"/>
      <c r="Q344" s="467"/>
      <c r="R344" s="467"/>
      <c r="S344" s="467"/>
      <c r="T344" s="467"/>
      <c r="U344" s="467"/>
      <c r="V344" s="467"/>
      <c r="W344" s="467"/>
      <c r="X344" s="467"/>
      <c r="Y344" s="467"/>
      <c r="Z344" s="467"/>
      <c r="AA344" s="465"/>
      <c r="AB344" s="467"/>
      <c r="AC344" s="469">
        <f>SUBTOTAL(9,O344:Q344)</f>
        <v>0</v>
      </c>
      <c r="AD344" s="469">
        <f>SUBTOTAL(9,R344:T344)</f>
        <v>0</v>
      </c>
      <c r="AE344" s="469">
        <f>SUBTOTAL(9,U344:W344)</f>
        <v>0</v>
      </c>
      <c r="AF344" s="469">
        <f>SUBTOTAL(9,X344:Z344)</f>
        <v>0</v>
      </c>
      <c r="AG344" s="470">
        <f>AC344+AD344+AE344+AF344</f>
        <v>0</v>
      </c>
      <c r="AH344" s="471">
        <f>N344-AG344</f>
        <v>0</v>
      </c>
    </row>
    <row r="345" spans="1:34" ht="41.15">
      <c r="A345" s="520"/>
      <c r="B345" s="520"/>
      <c r="C345" s="520"/>
      <c r="D345" s="584"/>
      <c r="E345" s="441"/>
      <c r="F345" s="663" t="s">
        <v>1456</v>
      </c>
      <c r="G345" s="663" t="s">
        <v>1457</v>
      </c>
      <c r="H345" s="458" t="s">
        <v>239</v>
      </c>
      <c r="I345" s="458" t="s">
        <v>239</v>
      </c>
      <c r="J345" s="458" t="s">
        <v>239</v>
      </c>
      <c r="K345" s="458" t="s">
        <v>239</v>
      </c>
      <c r="L345" s="796" t="s">
        <v>1458</v>
      </c>
      <c r="M345" s="525"/>
      <c r="N345" s="525"/>
      <c r="O345" s="525"/>
      <c r="P345" s="525"/>
      <c r="Q345" s="525"/>
      <c r="R345" s="525"/>
      <c r="S345" s="525"/>
      <c r="T345" s="525"/>
      <c r="U345" s="525"/>
      <c r="V345" s="525"/>
      <c r="W345" s="525"/>
      <c r="X345" s="525"/>
      <c r="Y345" s="525"/>
      <c r="Z345" s="525"/>
      <c r="AA345" s="797" t="s">
        <v>1459</v>
      </c>
      <c r="AB345" s="797" t="s">
        <v>915</v>
      </c>
      <c r="AC345" s="576"/>
      <c r="AD345" s="576"/>
      <c r="AE345" s="576"/>
      <c r="AF345" s="576"/>
    </row>
    <row r="346" spans="1:34" s="447" customFormat="1">
      <c r="A346" s="462"/>
      <c r="B346" s="462"/>
      <c r="C346" s="462"/>
      <c r="D346" s="462">
        <v>55</v>
      </c>
      <c r="E346" s="463" t="s">
        <v>1460</v>
      </c>
      <c r="F346" s="463"/>
      <c r="G346" s="464"/>
      <c r="H346" s="465"/>
      <c r="I346" s="465"/>
      <c r="J346" s="465"/>
      <c r="K346" s="465"/>
      <c r="L346" s="465"/>
      <c r="M346" s="466"/>
      <c r="N346" s="466"/>
      <c r="O346" s="466"/>
      <c r="P346" s="466"/>
      <c r="Q346" s="467"/>
      <c r="R346" s="467"/>
      <c r="S346" s="467"/>
      <c r="T346" s="467"/>
      <c r="U346" s="467"/>
      <c r="V346" s="467"/>
      <c r="W346" s="467"/>
      <c r="X346" s="467"/>
      <c r="Y346" s="467"/>
      <c r="Z346" s="467"/>
      <c r="AA346" s="465"/>
      <c r="AB346" s="467"/>
      <c r="AC346" s="469">
        <f>SUBTOTAL(9,O346:Q346)</f>
        <v>0</v>
      </c>
      <c r="AD346" s="469">
        <f>SUBTOTAL(9,R346:T346)</f>
        <v>0</v>
      </c>
      <c r="AE346" s="469">
        <f>SUBTOTAL(9,U346:W346)</f>
        <v>0</v>
      </c>
      <c r="AF346" s="469">
        <f>SUBTOTAL(9,X346:Z346)</f>
        <v>0</v>
      </c>
      <c r="AG346" s="470">
        <f>AC346+AD346+AE346+AF346</f>
        <v>0</v>
      </c>
      <c r="AH346" s="471">
        <f>N346-AG346</f>
        <v>0</v>
      </c>
    </row>
    <row r="347" spans="1:34" ht="102.9">
      <c r="A347" s="520"/>
      <c r="B347" s="520"/>
      <c r="C347" s="520"/>
      <c r="D347" s="584"/>
      <c r="E347" s="441"/>
      <c r="F347" s="661" t="s">
        <v>1461</v>
      </c>
      <c r="G347" s="661" t="s">
        <v>1462</v>
      </c>
      <c r="H347" s="458" t="s">
        <v>239</v>
      </c>
      <c r="I347" s="458" t="s">
        <v>239</v>
      </c>
      <c r="J347" s="458" t="s">
        <v>239</v>
      </c>
      <c r="K347" s="458" t="s">
        <v>239</v>
      </c>
      <c r="L347" s="796" t="s">
        <v>1463</v>
      </c>
      <c r="M347" s="525"/>
      <c r="N347" s="525"/>
      <c r="O347" s="525"/>
      <c r="P347" s="525"/>
      <c r="Q347" s="525"/>
      <c r="R347" s="525"/>
      <c r="S347" s="525"/>
      <c r="T347" s="525"/>
      <c r="U347" s="525"/>
      <c r="V347" s="525"/>
      <c r="W347" s="525"/>
      <c r="X347" s="525"/>
      <c r="Y347" s="525"/>
      <c r="Z347" s="525"/>
      <c r="AA347" s="797" t="s">
        <v>1459</v>
      </c>
      <c r="AB347" s="797" t="s">
        <v>1464</v>
      </c>
      <c r="AC347" s="576"/>
      <c r="AD347" s="576"/>
      <c r="AE347" s="576"/>
      <c r="AF347" s="576"/>
    </row>
    <row r="348" spans="1:34" s="447" customFormat="1">
      <c r="A348" s="462"/>
      <c r="B348" s="462"/>
      <c r="C348" s="462"/>
      <c r="D348" s="462">
        <v>56</v>
      </c>
      <c r="E348" s="463" t="s">
        <v>1465</v>
      </c>
      <c r="F348" s="463"/>
      <c r="G348" s="464"/>
      <c r="H348" s="465"/>
      <c r="I348" s="465"/>
      <c r="J348" s="465"/>
      <c r="K348" s="465"/>
      <c r="L348" s="465"/>
      <c r="M348" s="466"/>
      <c r="N348" s="466"/>
      <c r="O348" s="466"/>
      <c r="P348" s="466"/>
      <c r="Q348" s="467"/>
      <c r="R348" s="467"/>
      <c r="S348" s="467"/>
      <c r="T348" s="467"/>
      <c r="U348" s="467"/>
      <c r="V348" s="467"/>
      <c r="W348" s="467"/>
      <c r="X348" s="467"/>
      <c r="Y348" s="467"/>
      <c r="Z348" s="467"/>
      <c r="AA348" s="465"/>
      <c r="AB348" s="467"/>
      <c r="AC348" s="469">
        <f>SUBTOTAL(9,O348:Q348)</f>
        <v>0</v>
      </c>
      <c r="AD348" s="469">
        <f>SUBTOTAL(9,R348:T348)</f>
        <v>0</v>
      </c>
      <c r="AE348" s="469">
        <f>SUBTOTAL(9,U348:W348)</f>
        <v>0</v>
      </c>
      <c r="AF348" s="469">
        <f>SUBTOTAL(9,X348:Z348)</f>
        <v>0</v>
      </c>
      <c r="AG348" s="470">
        <f>AC348+AD348+AE348+AF348</f>
        <v>0</v>
      </c>
      <c r="AH348" s="471">
        <f>N348-AG348</f>
        <v>0</v>
      </c>
    </row>
    <row r="349" spans="1:34" ht="72">
      <c r="A349" s="520"/>
      <c r="B349" s="520"/>
      <c r="C349" s="520"/>
      <c r="D349" s="584"/>
      <c r="E349" s="798"/>
      <c r="F349" s="635" t="s">
        <v>1466</v>
      </c>
      <c r="G349" s="635" t="s">
        <v>1467</v>
      </c>
      <c r="H349" s="458" t="s">
        <v>239</v>
      </c>
      <c r="I349" s="458" t="s">
        <v>239</v>
      </c>
      <c r="J349" s="458" t="s">
        <v>239</v>
      </c>
      <c r="K349" s="458" t="s">
        <v>239</v>
      </c>
      <c r="L349" s="799" t="s">
        <v>1468</v>
      </c>
      <c r="M349" s="525"/>
      <c r="N349" s="525"/>
      <c r="O349" s="525"/>
      <c r="P349" s="525"/>
      <c r="Q349" s="525"/>
      <c r="R349" s="525"/>
      <c r="S349" s="525"/>
      <c r="T349" s="525"/>
      <c r="U349" s="525"/>
      <c r="V349" s="525"/>
      <c r="W349" s="525"/>
      <c r="X349" s="525"/>
      <c r="Y349" s="525"/>
      <c r="Z349" s="525"/>
      <c r="AA349" s="797" t="s">
        <v>1459</v>
      </c>
      <c r="AB349" s="797" t="s">
        <v>1464</v>
      </c>
      <c r="AC349" s="576"/>
      <c r="AD349" s="576"/>
      <c r="AE349" s="576"/>
      <c r="AF349" s="576"/>
    </row>
    <row r="351" spans="1:34" ht="9.5500000000000007" customHeight="1"/>
  </sheetData>
  <autoFilter ref="A11:AL349" xr:uid="{ED571715-1991-4A5D-82E0-C1DA4B37D207}"/>
  <mergeCells count="605">
    <mergeCell ref="D1:AB1"/>
    <mergeCell ref="G339:G343"/>
    <mergeCell ref="H339:H343"/>
    <mergeCell ref="I339:I343"/>
    <mergeCell ref="J339:J343"/>
    <mergeCell ref="K339:K343"/>
    <mergeCell ref="N339:N343"/>
    <mergeCell ref="A339:A343"/>
    <mergeCell ref="B339:B343"/>
    <mergeCell ref="C339:C343"/>
    <mergeCell ref="D339:D343"/>
    <mergeCell ref="E339:E343"/>
    <mergeCell ref="F339:F343"/>
    <mergeCell ref="G335:G337"/>
    <mergeCell ref="H335:H337"/>
    <mergeCell ref="I335:I337"/>
    <mergeCell ref="J335:J337"/>
    <mergeCell ref="K335:K337"/>
    <mergeCell ref="N335:N337"/>
    <mergeCell ref="A335:A337"/>
    <mergeCell ref="B335:B337"/>
    <mergeCell ref="C335:C337"/>
    <mergeCell ref="D335:D337"/>
    <mergeCell ref="E335:E337"/>
    <mergeCell ref="A326:A330"/>
    <mergeCell ref="B326:B330"/>
    <mergeCell ref="C326:C330"/>
    <mergeCell ref="D326:D330"/>
    <mergeCell ref="E326:E330"/>
    <mergeCell ref="F335:F337"/>
    <mergeCell ref="AA326:AA330"/>
    <mergeCell ref="AB326:AB330"/>
    <mergeCell ref="A332:A333"/>
    <mergeCell ref="B332:B333"/>
    <mergeCell ref="C332:C333"/>
    <mergeCell ref="D332:D333"/>
    <mergeCell ref="E332:E333"/>
    <mergeCell ref="F332:F333"/>
    <mergeCell ref="G332:G333"/>
    <mergeCell ref="N332:N333"/>
    <mergeCell ref="F326:F330"/>
    <mergeCell ref="G326:G330"/>
    <mergeCell ref="H326:H330"/>
    <mergeCell ref="I326:I330"/>
    <mergeCell ref="J326:J330"/>
    <mergeCell ref="K326:K330"/>
    <mergeCell ref="AA315:AA321"/>
    <mergeCell ref="AB315:AB321"/>
    <mergeCell ref="A323:A324"/>
    <mergeCell ref="B323:B324"/>
    <mergeCell ref="C323:C324"/>
    <mergeCell ref="D323:D324"/>
    <mergeCell ref="E323:E324"/>
    <mergeCell ref="F323:F324"/>
    <mergeCell ref="G323:G324"/>
    <mergeCell ref="H323:H324"/>
    <mergeCell ref="G315:G321"/>
    <mergeCell ref="H315:H321"/>
    <mergeCell ref="I315:I321"/>
    <mergeCell ref="J315:J321"/>
    <mergeCell ref="K315:K321"/>
    <mergeCell ref="N315:N321"/>
    <mergeCell ref="I323:I324"/>
    <mergeCell ref="J323:J324"/>
    <mergeCell ref="K323:K324"/>
    <mergeCell ref="AA323:AA324"/>
    <mergeCell ref="AB323:AB324"/>
    <mergeCell ref="E310:E313"/>
    <mergeCell ref="F310:F314"/>
    <mergeCell ref="G310:G314"/>
    <mergeCell ref="N310:N314"/>
    <mergeCell ref="A315:A321"/>
    <mergeCell ref="B315:B321"/>
    <mergeCell ref="C315:C321"/>
    <mergeCell ref="D315:D321"/>
    <mergeCell ref="E315:E321"/>
    <mergeCell ref="F315:F321"/>
    <mergeCell ref="AB304:AB305"/>
    <mergeCell ref="A307:A308"/>
    <mergeCell ref="B307:B308"/>
    <mergeCell ref="C307:C308"/>
    <mergeCell ref="D307:D308"/>
    <mergeCell ref="E307:E308"/>
    <mergeCell ref="F307:F308"/>
    <mergeCell ref="G307:G308"/>
    <mergeCell ref="AA307:AA308"/>
    <mergeCell ref="AB307:AB308"/>
    <mergeCell ref="G304:G305"/>
    <mergeCell ref="H304:H305"/>
    <mergeCell ref="I304:I305"/>
    <mergeCell ref="J304:J305"/>
    <mergeCell ref="K304:K305"/>
    <mergeCell ref="AA304:AA305"/>
    <mergeCell ref="A304:A305"/>
    <mergeCell ref="B304:B305"/>
    <mergeCell ref="C304:C305"/>
    <mergeCell ref="D304:D305"/>
    <mergeCell ref="E304:E305"/>
    <mergeCell ref="F304:F305"/>
    <mergeCell ref="AB299:AB302"/>
    <mergeCell ref="E300:E301"/>
    <mergeCell ref="F300:F301"/>
    <mergeCell ref="G300:G301"/>
    <mergeCell ref="H300:H301"/>
    <mergeCell ref="I300:I301"/>
    <mergeCell ref="J300:J301"/>
    <mergeCell ref="K300:K301"/>
    <mergeCell ref="I292:I297"/>
    <mergeCell ref="J292:J297"/>
    <mergeCell ref="K292:K297"/>
    <mergeCell ref="AA292:AA297"/>
    <mergeCell ref="AB292:AB297"/>
    <mergeCell ref="A299:A302"/>
    <mergeCell ref="B299:B302"/>
    <mergeCell ref="C299:C302"/>
    <mergeCell ref="D299:D302"/>
    <mergeCell ref="AA299:AA302"/>
    <mergeCell ref="AA287:AA290"/>
    <mergeCell ref="AB287:AB290"/>
    <mergeCell ref="A292:A297"/>
    <mergeCell ref="B292:B297"/>
    <mergeCell ref="C292:C297"/>
    <mergeCell ref="D292:D297"/>
    <mergeCell ref="E292:E297"/>
    <mergeCell ref="F292:F297"/>
    <mergeCell ref="G292:G297"/>
    <mergeCell ref="H292:H297"/>
    <mergeCell ref="U287:U290"/>
    <mergeCell ref="V287:V290"/>
    <mergeCell ref="W287:W290"/>
    <mergeCell ref="X287:X290"/>
    <mergeCell ref="Y287:Y290"/>
    <mergeCell ref="Z287:Z290"/>
    <mergeCell ref="O287:O290"/>
    <mergeCell ref="P287:P290"/>
    <mergeCell ref="Q287:Q290"/>
    <mergeCell ref="R287:R290"/>
    <mergeCell ref="S287:S290"/>
    <mergeCell ref="T287:T290"/>
    <mergeCell ref="AA283:AA286"/>
    <mergeCell ref="AB283:AB286"/>
    <mergeCell ref="E287:E290"/>
    <mergeCell ref="F287:F290"/>
    <mergeCell ref="G287:G290"/>
    <mergeCell ref="H287:H290"/>
    <mergeCell ref="I287:I290"/>
    <mergeCell ref="J287:J290"/>
    <mergeCell ref="K287:K290"/>
    <mergeCell ref="N287:N290"/>
    <mergeCell ref="U283:U286"/>
    <mergeCell ref="V283:V286"/>
    <mergeCell ref="W283:W286"/>
    <mergeCell ref="X283:X286"/>
    <mergeCell ref="Y283:Y286"/>
    <mergeCell ref="Z283:Z286"/>
    <mergeCell ref="O283:O286"/>
    <mergeCell ref="P283:P286"/>
    <mergeCell ref="Q283:Q286"/>
    <mergeCell ref="R283:R286"/>
    <mergeCell ref="S283:S286"/>
    <mergeCell ref="T283:T286"/>
    <mergeCell ref="G283:G286"/>
    <mergeCell ref="H283:H286"/>
    <mergeCell ref="I283:I286"/>
    <mergeCell ref="J283:J286"/>
    <mergeCell ref="K283:K286"/>
    <mergeCell ref="N283:N286"/>
    <mergeCell ref="J279:J281"/>
    <mergeCell ref="K279:K281"/>
    <mergeCell ref="AA279:AA281"/>
    <mergeCell ref="AB279:AB281"/>
    <mergeCell ref="A283:A290"/>
    <mergeCell ref="B283:B290"/>
    <mergeCell ref="C283:C290"/>
    <mergeCell ref="D283:D290"/>
    <mergeCell ref="E283:E286"/>
    <mergeCell ref="F283:F286"/>
    <mergeCell ref="AB270:AB277"/>
    <mergeCell ref="A279:A281"/>
    <mergeCell ref="B279:B281"/>
    <mergeCell ref="C279:C281"/>
    <mergeCell ref="D279:D281"/>
    <mergeCell ref="E279:E281"/>
    <mergeCell ref="F279:F281"/>
    <mergeCell ref="G279:G281"/>
    <mergeCell ref="H279:H281"/>
    <mergeCell ref="I279:I281"/>
    <mergeCell ref="G270:G277"/>
    <mergeCell ref="H270:H277"/>
    <mergeCell ref="I270:I277"/>
    <mergeCell ref="J270:J277"/>
    <mergeCell ref="K270:K277"/>
    <mergeCell ref="AA270:AA277"/>
    <mergeCell ref="AB260:AB263"/>
    <mergeCell ref="A270:A277"/>
    <mergeCell ref="B270:B277"/>
    <mergeCell ref="C270:C277"/>
    <mergeCell ref="D270:D277"/>
    <mergeCell ref="E270:E277"/>
    <mergeCell ref="F270:F277"/>
    <mergeCell ref="S260:S263"/>
    <mergeCell ref="T260:T263"/>
    <mergeCell ref="U260:U263"/>
    <mergeCell ref="V260:V263"/>
    <mergeCell ref="W260:W263"/>
    <mergeCell ref="X260:X263"/>
    <mergeCell ref="K260:K263"/>
    <mergeCell ref="N260:N263"/>
    <mergeCell ref="O260:O263"/>
    <mergeCell ref="P260:P263"/>
    <mergeCell ref="Q260:Q263"/>
    <mergeCell ref="R260:R263"/>
    <mergeCell ref="Z256:Z259"/>
    <mergeCell ref="AA256:AA259"/>
    <mergeCell ref="AB256:AB259"/>
    <mergeCell ref="E260:E263"/>
    <mergeCell ref="F260:F263"/>
    <mergeCell ref="G260:G263"/>
    <mergeCell ref="H260:H263"/>
    <mergeCell ref="I260:I263"/>
    <mergeCell ref="J260:J263"/>
    <mergeCell ref="S256:S259"/>
    <mergeCell ref="T256:T259"/>
    <mergeCell ref="U256:U259"/>
    <mergeCell ref="V256:V259"/>
    <mergeCell ref="W256:W259"/>
    <mergeCell ref="X256:X259"/>
    <mergeCell ref="K256:K259"/>
    <mergeCell ref="N256:N259"/>
    <mergeCell ref="O256:O259"/>
    <mergeCell ref="P256:P259"/>
    <mergeCell ref="Q256:Q259"/>
    <mergeCell ref="R256:R259"/>
    <mergeCell ref="Y260:Y263"/>
    <mergeCell ref="Z260:Z263"/>
    <mergeCell ref="AA260:AA263"/>
    <mergeCell ref="W254:W255"/>
    <mergeCell ref="X254:X255"/>
    <mergeCell ref="K254:K255"/>
    <mergeCell ref="N254:N255"/>
    <mergeCell ref="O254:O255"/>
    <mergeCell ref="P254:P255"/>
    <mergeCell ref="Q254:Q255"/>
    <mergeCell ref="R254:R255"/>
    <mergeCell ref="Y256:Y259"/>
    <mergeCell ref="E256:E259"/>
    <mergeCell ref="F256:F259"/>
    <mergeCell ref="G256:G259"/>
    <mergeCell ref="H256:H259"/>
    <mergeCell ref="I256:I259"/>
    <mergeCell ref="J256:J259"/>
    <mergeCell ref="S254:S255"/>
    <mergeCell ref="T254:T255"/>
    <mergeCell ref="U254:U255"/>
    <mergeCell ref="AB252:AB253"/>
    <mergeCell ref="E254:E255"/>
    <mergeCell ref="F254:F255"/>
    <mergeCell ref="G254:G255"/>
    <mergeCell ref="H254:H255"/>
    <mergeCell ref="I254:I255"/>
    <mergeCell ref="J254:J255"/>
    <mergeCell ref="S252:S253"/>
    <mergeCell ref="T252:T253"/>
    <mergeCell ref="U252:U253"/>
    <mergeCell ref="V252:V253"/>
    <mergeCell ref="W252:W253"/>
    <mergeCell ref="X252:X253"/>
    <mergeCell ref="K252:K253"/>
    <mergeCell ref="N252:N253"/>
    <mergeCell ref="O252:O253"/>
    <mergeCell ref="P252:P253"/>
    <mergeCell ref="Q252:Q253"/>
    <mergeCell ref="R252:R253"/>
    <mergeCell ref="Y254:Y255"/>
    <mergeCell ref="Z254:Z255"/>
    <mergeCell ref="AA254:AA255"/>
    <mergeCell ref="AB254:AB255"/>
    <mergeCell ref="V254:V255"/>
    <mergeCell ref="AB248:AB249"/>
    <mergeCell ref="E252:E253"/>
    <mergeCell ref="F252:F253"/>
    <mergeCell ref="G252:G253"/>
    <mergeCell ref="H252:H253"/>
    <mergeCell ref="I252:I253"/>
    <mergeCell ref="J252:J253"/>
    <mergeCell ref="S248:S249"/>
    <mergeCell ref="T248:T249"/>
    <mergeCell ref="U248:U249"/>
    <mergeCell ref="V248:V249"/>
    <mergeCell ref="W248:W249"/>
    <mergeCell ref="X248:X249"/>
    <mergeCell ref="K248:K249"/>
    <mergeCell ref="N248:N249"/>
    <mergeCell ref="O248:O249"/>
    <mergeCell ref="P248:P249"/>
    <mergeCell ref="Q248:Q249"/>
    <mergeCell ref="R248:R249"/>
    <mergeCell ref="E248:E249"/>
    <mergeCell ref="F248:F249"/>
    <mergeCell ref="Y252:Y253"/>
    <mergeCell ref="Z252:Z253"/>
    <mergeCell ref="AA252:AA253"/>
    <mergeCell ref="G248:G249"/>
    <mergeCell ref="H248:H249"/>
    <mergeCell ref="I248:I249"/>
    <mergeCell ref="J248:J249"/>
    <mergeCell ref="W240:W244"/>
    <mergeCell ref="X240:X244"/>
    <mergeCell ref="Y240:Y244"/>
    <mergeCell ref="Z240:Z244"/>
    <mergeCell ref="AA240:AA244"/>
    <mergeCell ref="Y248:Y249"/>
    <mergeCell ref="Z248:Z249"/>
    <mergeCell ref="AA248:AA249"/>
    <mergeCell ref="T240:T244"/>
    <mergeCell ref="U240:U244"/>
    <mergeCell ref="V240:V244"/>
    <mergeCell ref="I240:I244"/>
    <mergeCell ref="J240:J244"/>
    <mergeCell ref="K240:K244"/>
    <mergeCell ref="N240:N244"/>
    <mergeCell ref="O240:O244"/>
    <mergeCell ref="P240:P244"/>
    <mergeCell ref="AB235:AB239"/>
    <mergeCell ref="D240:D244"/>
    <mergeCell ref="E240:E244"/>
    <mergeCell ref="F240:F244"/>
    <mergeCell ref="G240:G244"/>
    <mergeCell ref="H240:H244"/>
    <mergeCell ref="R235:R239"/>
    <mergeCell ref="S235:S239"/>
    <mergeCell ref="T235:T239"/>
    <mergeCell ref="U235:U239"/>
    <mergeCell ref="V235:V239"/>
    <mergeCell ref="W235:W239"/>
    <mergeCell ref="J235:J239"/>
    <mergeCell ref="K235:K239"/>
    <mergeCell ref="N235:N239"/>
    <mergeCell ref="O235:O239"/>
    <mergeCell ref="P235:P239"/>
    <mergeCell ref="Q235:Q239"/>
    <mergeCell ref="D235:D239"/>
    <mergeCell ref="E235:E239"/>
    <mergeCell ref="AB240:AB244"/>
    <mergeCell ref="Q240:Q244"/>
    <mergeCell ref="R240:R244"/>
    <mergeCell ref="S240:S244"/>
    <mergeCell ref="F235:F239"/>
    <mergeCell ref="G235:G239"/>
    <mergeCell ref="H235:H239"/>
    <mergeCell ref="I235:I239"/>
    <mergeCell ref="W230:W234"/>
    <mergeCell ref="X230:X234"/>
    <mergeCell ref="Y230:Y234"/>
    <mergeCell ref="Z230:Z234"/>
    <mergeCell ref="AA230:AA234"/>
    <mergeCell ref="X235:X239"/>
    <mergeCell ref="Y235:Y239"/>
    <mergeCell ref="Z235:Z239"/>
    <mergeCell ref="AA235:AA239"/>
    <mergeCell ref="AB230:AB234"/>
    <mergeCell ref="Q230:Q234"/>
    <mergeCell ref="R230:R234"/>
    <mergeCell ref="S230:S234"/>
    <mergeCell ref="T230:T234"/>
    <mergeCell ref="U230:U234"/>
    <mergeCell ref="V230:V234"/>
    <mergeCell ref="I230:I234"/>
    <mergeCell ref="J230:J234"/>
    <mergeCell ref="K230:K234"/>
    <mergeCell ref="N230:N234"/>
    <mergeCell ref="O230:O234"/>
    <mergeCell ref="P230:P234"/>
    <mergeCell ref="C230:C234"/>
    <mergeCell ref="D230:D234"/>
    <mergeCell ref="E230:E234"/>
    <mergeCell ref="F230:F234"/>
    <mergeCell ref="G230:G234"/>
    <mergeCell ref="H230:H234"/>
    <mergeCell ref="W225:W229"/>
    <mergeCell ref="X225:X229"/>
    <mergeCell ref="Y225:Y229"/>
    <mergeCell ref="I225:I229"/>
    <mergeCell ref="J225:J229"/>
    <mergeCell ref="K225:K229"/>
    <mergeCell ref="N225:N229"/>
    <mergeCell ref="O225:O229"/>
    <mergeCell ref="P225:P229"/>
    <mergeCell ref="AC217:AC221"/>
    <mergeCell ref="F219:F223"/>
    <mergeCell ref="G219:G223"/>
    <mergeCell ref="N219:N223"/>
    <mergeCell ref="C225:C229"/>
    <mergeCell ref="D225:D229"/>
    <mergeCell ref="E225:E229"/>
    <mergeCell ref="F225:F229"/>
    <mergeCell ref="G225:G229"/>
    <mergeCell ref="H225:H229"/>
    <mergeCell ref="Z225:Z229"/>
    <mergeCell ref="AA225:AA229"/>
    <mergeCell ref="AB225:AB229"/>
    <mergeCell ref="Q225:Q229"/>
    <mergeCell ref="R225:R229"/>
    <mergeCell ref="S225:S229"/>
    <mergeCell ref="T225:T229"/>
    <mergeCell ref="U225:U229"/>
    <mergeCell ref="V225:V229"/>
    <mergeCell ref="F207:F210"/>
    <mergeCell ref="G207:G210"/>
    <mergeCell ref="F214:F218"/>
    <mergeCell ref="G214:G218"/>
    <mergeCell ref="N214:N218"/>
    <mergeCell ref="D217:D221"/>
    <mergeCell ref="K193:K197"/>
    <mergeCell ref="N193:N197"/>
    <mergeCell ref="G199:G203"/>
    <mergeCell ref="H199:H203"/>
    <mergeCell ref="I199:I203"/>
    <mergeCell ref="J199:J203"/>
    <mergeCell ref="K199:K203"/>
    <mergeCell ref="N199:N203"/>
    <mergeCell ref="N186:N187"/>
    <mergeCell ref="E189:E190"/>
    <mergeCell ref="F189:F190"/>
    <mergeCell ref="G189:G190"/>
    <mergeCell ref="N189:N190"/>
    <mergeCell ref="F193:F197"/>
    <mergeCell ref="G193:G197"/>
    <mergeCell ref="H193:H197"/>
    <mergeCell ref="I193:I197"/>
    <mergeCell ref="J193:J197"/>
    <mergeCell ref="E173:E174"/>
    <mergeCell ref="F173:F174"/>
    <mergeCell ref="G173:G174"/>
    <mergeCell ref="N173:N174"/>
    <mergeCell ref="N176:N182"/>
    <mergeCell ref="N184:N185"/>
    <mergeCell ref="F164:F165"/>
    <mergeCell ref="N164:N165"/>
    <mergeCell ref="F166:F167"/>
    <mergeCell ref="N166:N167"/>
    <mergeCell ref="E168:E169"/>
    <mergeCell ref="N168:N170"/>
    <mergeCell ref="E152:E158"/>
    <mergeCell ref="F152:F158"/>
    <mergeCell ref="G152:G158"/>
    <mergeCell ref="N152:N159"/>
    <mergeCell ref="E160:E161"/>
    <mergeCell ref="G160:G161"/>
    <mergeCell ref="N160:N161"/>
    <mergeCell ref="N145:N146"/>
    <mergeCell ref="N147:N149"/>
    <mergeCell ref="E150:E151"/>
    <mergeCell ref="F150:F151"/>
    <mergeCell ref="G150:G151"/>
    <mergeCell ref="N150:N151"/>
    <mergeCell ref="H135:H137"/>
    <mergeCell ref="I135:I137"/>
    <mergeCell ref="J135:J137"/>
    <mergeCell ref="K135:K137"/>
    <mergeCell ref="F129:F130"/>
    <mergeCell ref="G129:G130"/>
    <mergeCell ref="N129:N130"/>
    <mergeCell ref="F132:F133"/>
    <mergeCell ref="G132:G133"/>
    <mergeCell ref="A135:A137"/>
    <mergeCell ref="B135:B137"/>
    <mergeCell ref="C135:C137"/>
    <mergeCell ref="D135:D137"/>
    <mergeCell ref="E135:E137"/>
    <mergeCell ref="D127:D128"/>
    <mergeCell ref="E127:E128"/>
    <mergeCell ref="F127:F128"/>
    <mergeCell ref="G127:G128"/>
    <mergeCell ref="F135:F137"/>
    <mergeCell ref="G135:G137"/>
    <mergeCell ref="N127:N128"/>
    <mergeCell ref="A129:A130"/>
    <mergeCell ref="B129:B130"/>
    <mergeCell ref="C129:C130"/>
    <mergeCell ref="D129:D130"/>
    <mergeCell ref="E129:E130"/>
    <mergeCell ref="N120:N121"/>
    <mergeCell ref="A122:A123"/>
    <mergeCell ref="B122:B123"/>
    <mergeCell ref="C122:C123"/>
    <mergeCell ref="D122:D123"/>
    <mergeCell ref="E122:E125"/>
    <mergeCell ref="F122:F125"/>
    <mergeCell ref="G122:G125"/>
    <mergeCell ref="N122:N123"/>
    <mergeCell ref="N124:N125"/>
    <mergeCell ref="A120:A121"/>
    <mergeCell ref="B120:B121"/>
    <mergeCell ref="C120:C121"/>
    <mergeCell ref="D120:D121"/>
    <mergeCell ref="E120:E121"/>
    <mergeCell ref="G120:G121"/>
    <mergeCell ref="E112:E113"/>
    <mergeCell ref="F112:F113"/>
    <mergeCell ref="G112:G113"/>
    <mergeCell ref="N115:N116"/>
    <mergeCell ref="F117:F118"/>
    <mergeCell ref="G117:G118"/>
    <mergeCell ref="N117:N118"/>
    <mergeCell ref="E108:E109"/>
    <mergeCell ref="F108:F109"/>
    <mergeCell ref="G108:G109"/>
    <mergeCell ref="E110:E111"/>
    <mergeCell ref="F110:F111"/>
    <mergeCell ref="G110:G111"/>
    <mergeCell ref="H100:H101"/>
    <mergeCell ref="I100:I101"/>
    <mergeCell ref="J100:J101"/>
    <mergeCell ref="K100:K101"/>
    <mergeCell ref="F105:F106"/>
    <mergeCell ref="G105:G106"/>
    <mergeCell ref="F97:F98"/>
    <mergeCell ref="G97:G98"/>
    <mergeCell ref="A100:A101"/>
    <mergeCell ref="B100:B101"/>
    <mergeCell ref="C100:C101"/>
    <mergeCell ref="D100:D101"/>
    <mergeCell ref="E100:E101"/>
    <mergeCell ref="F100:F101"/>
    <mergeCell ref="G100:G101"/>
    <mergeCell ref="G91:G94"/>
    <mergeCell ref="H91:H92"/>
    <mergeCell ref="I91:I92"/>
    <mergeCell ref="J91:J92"/>
    <mergeCell ref="K91:K92"/>
    <mergeCell ref="A97:A98"/>
    <mergeCell ref="B97:B98"/>
    <mergeCell ref="C97:C98"/>
    <mergeCell ref="D97:D98"/>
    <mergeCell ref="E97:E98"/>
    <mergeCell ref="A91:A95"/>
    <mergeCell ref="B91:B95"/>
    <mergeCell ref="C91:C95"/>
    <mergeCell ref="D91:D95"/>
    <mergeCell ref="E91:E94"/>
    <mergeCell ref="F91:F94"/>
    <mergeCell ref="H82:H83"/>
    <mergeCell ref="I82:I83"/>
    <mergeCell ref="J82:J83"/>
    <mergeCell ref="K82:K83"/>
    <mergeCell ref="G84:G85"/>
    <mergeCell ref="E87:E89"/>
    <mergeCell ref="F87:F89"/>
    <mergeCell ref="G87:G89"/>
    <mergeCell ref="F79:F80"/>
    <mergeCell ref="G79:G80"/>
    <mergeCell ref="A82:A85"/>
    <mergeCell ref="B82:B85"/>
    <mergeCell ref="C82:C85"/>
    <mergeCell ref="D82:D85"/>
    <mergeCell ref="E82:E85"/>
    <mergeCell ref="F82:F85"/>
    <mergeCell ref="G82:G83"/>
    <mergeCell ref="E62:E64"/>
    <mergeCell ref="E71:E72"/>
    <mergeCell ref="F71:F72"/>
    <mergeCell ref="G71:G72"/>
    <mergeCell ref="N71:N72"/>
    <mergeCell ref="E75:E76"/>
    <mergeCell ref="G75:G76"/>
    <mergeCell ref="E46:E49"/>
    <mergeCell ref="F46:F49"/>
    <mergeCell ref="G46:G49"/>
    <mergeCell ref="F51:F54"/>
    <mergeCell ref="G51:G54"/>
    <mergeCell ref="F56:F57"/>
    <mergeCell ref="G56:G57"/>
    <mergeCell ref="E34:E35"/>
    <mergeCell ref="F34:F35"/>
    <mergeCell ref="G34:G35"/>
    <mergeCell ref="E37:E39"/>
    <mergeCell ref="F37:F39"/>
    <mergeCell ref="G37:G39"/>
    <mergeCell ref="E22:E29"/>
    <mergeCell ref="F22:F29"/>
    <mergeCell ref="G22:G29"/>
    <mergeCell ref="E30:E32"/>
    <mergeCell ref="F30:F32"/>
    <mergeCell ref="G30:G32"/>
    <mergeCell ref="E15:E16"/>
    <mergeCell ref="F15:F16"/>
    <mergeCell ref="G15:G16"/>
    <mergeCell ref="E18:E19"/>
    <mergeCell ref="F18:F19"/>
    <mergeCell ref="G18:G19"/>
    <mergeCell ref="N8:N10"/>
    <mergeCell ref="O8:Z8"/>
    <mergeCell ref="AA8:AA10"/>
    <mergeCell ref="AB8:AB10"/>
    <mergeCell ref="O9:Q9"/>
    <mergeCell ref="R9:T9"/>
    <mergeCell ref="U9:W9"/>
    <mergeCell ref="X9:Z9"/>
    <mergeCell ref="D8:D10"/>
    <mergeCell ref="E8:E10"/>
    <mergeCell ref="F8:F10"/>
    <mergeCell ref="G8:G10"/>
    <mergeCell ref="H8:K9"/>
    <mergeCell ref="L8:M9"/>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0E488-562E-4814-9236-30B58E804E39}">
  <sheetPr filterMode="1">
    <tabColor rgb="FF92D050"/>
  </sheetPr>
  <dimension ref="A1:AG134"/>
  <sheetViews>
    <sheetView topLeftCell="C38" zoomScale="70" zoomScaleNormal="70" workbookViewId="0">
      <selection activeCell="M48" sqref="M48"/>
    </sheetView>
  </sheetViews>
  <sheetFormatPr defaultRowHeight="15"/>
  <cols>
    <col min="1" max="1" width="7.42578125" style="1711" customWidth="1"/>
    <col min="2" max="2" width="9.0703125" style="1711" customWidth="1"/>
    <col min="3" max="3" width="7.7109375" style="1711" customWidth="1"/>
    <col min="4" max="4" width="7.42578125" style="1950" customWidth="1"/>
    <col min="5" max="5" width="20.5703125" style="1711" customWidth="1"/>
    <col min="6" max="6" width="38.28515625" style="1711" customWidth="1"/>
    <col min="7" max="7" width="32.5703125" style="1711" customWidth="1"/>
    <col min="8" max="8" width="3.92578125" style="1711" customWidth="1"/>
    <col min="9" max="9" width="4.28515625" style="1711" customWidth="1"/>
    <col min="10" max="10" width="4.0703125" style="1711" customWidth="1"/>
    <col min="11" max="11" width="6.2109375" style="1711" customWidth="1"/>
    <col min="12" max="12" width="32.5703125" style="1711" customWidth="1"/>
    <col min="13" max="13" width="10.28515625" style="1711" bestFit="1" customWidth="1"/>
    <col min="14" max="14" width="15.2109375" style="1711" bestFit="1" customWidth="1"/>
    <col min="15" max="15" width="10.7109375" style="1711" bestFit="1" customWidth="1"/>
    <col min="16" max="18" width="12.0703125" style="1711" bestFit="1" customWidth="1"/>
    <col min="19" max="19" width="10.78515625" style="1711" bestFit="1" customWidth="1"/>
    <col min="20" max="20" width="11.5" style="1711" bestFit="1" customWidth="1"/>
    <col min="21" max="26" width="10.7109375" style="1711" bestFit="1" customWidth="1"/>
    <col min="27" max="27" width="11.5" style="1711" bestFit="1" customWidth="1"/>
    <col min="28" max="28" width="12.92578125" style="1711" customWidth="1"/>
    <col min="29" max="29" width="7.0703125" style="1711" customWidth="1"/>
    <col min="30" max="31" width="9.140625" style="1711"/>
    <col min="32" max="32" width="13.42578125" style="1711" customWidth="1"/>
    <col min="33" max="255" width="9.140625" style="1711"/>
    <col min="256" max="256" width="4.42578125" style="1711" customWidth="1"/>
    <col min="257" max="257" width="20.5703125" style="1711" customWidth="1"/>
    <col min="258" max="258" width="12.42578125" style="1711" customWidth="1"/>
    <col min="259" max="259" width="12.5703125" style="1711" customWidth="1"/>
    <col min="260" max="260" width="3.92578125" style="1711" customWidth="1"/>
    <col min="261" max="261" width="4.28515625" style="1711" customWidth="1"/>
    <col min="262" max="262" width="4.0703125" style="1711" customWidth="1"/>
    <col min="263" max="263" width="4" style="1711" customWidth="1"/>
    <col min="264" max="264" width="16.42578125" style="1711" customWidth="1"/>
    <col min="265" max="265" width="5.5703125" style="1711" customWidth="1"/>
    <col min="266" max="266" width="8.5703125" style="1711" customWidth="1"/>
    <col min="267" max="267" width="5.42578125" style="1711" customWidth="1"/>
    <col min="268" max="268" width="4.42578125" style="1711" customWidth="1"/>
    <col min="269" max="269" width="4.28515625" style="1711" customWidth="1"/>
    <col min="270" max="270" width="3.0703125" style="1711" customWidth="1"/>
    <col min="271" max="271" width="4.5703125" style="1711" customWidth="1"/>
    <col min="272" max="272" width="4.42578125" style="1711" customWidth="1"/>
    <col min="273" max="273" width="4" style="1711" customWidth="1"/>
    <col min="274" max="274" width="3" style="1711" customWidth="1"/>
    <col min="275" max="275" width="3.92578125" style="1711" customWidth="1"/>
    <col min="276" max="276" width="4.42578125" style="1711" customWidth="1"/>
    <col min="277" max="277" width="3.42578125" style="1711" customWidth="1"/>
    <col min="278" max="278" width="4.92578125" style="1711" customWidth="1"/>
    <col min="279" max="279" width="10.5703125" style="1711" customWidth="1"/>
    <col min="280" max="280" width="7.0703125" style="1711" customWidth="1"/>
    <col min="281" max="281" width="8.0703125" style="1711" customWidth="1"/>
    <col min="282" max="284" width="7.5703125" style="1711" customWidth="1"/>
    <col min="285" max="285" width="7.0703125" style="1711" customWidth="1"/>
    <col min="286" max="511" width="9.140625" style="1711"/>
    <col min="512" max="512" width="4.42578125" style="1711" customWidth="1"/>
    <col min="513" max="513" width="20.5703125" style="1711" customWidth="1"/>
    <col min="514" max="514" width="12.42578125" style="1711" customWidth="1"/>
    <col min="515" max="515" width="12.5703125" style="1711" customWidth="1"/>
    <col min="516" max="516" width="3.92578125" style="1711" customWidth="1"/>
    <col min="517" max="517" width="4.28515625" style="1711" customWidth="1"/>
    <col min="518" max="518" width="4.0703125" style="1711" customWidth="1"/>
    <col min="519" max="519" width="4" style="1711" customWidth="1"/>
    <col min="520" max="520" width="16.42578125" style="1711" customWidth="1"/>
    <col min="521" max="521" width="5.5703125" style="1711" customWidth="1"/>
    <col min="522" max="522" width="8.5703125" style="1711" customWidth="1"/>
    <col min="523" max="523" width="5.42578125" style="1711" customWidth="1"/>
    <col min="524" max="524" width="4.42578125" style="1711" customWidth="1"/>
    <col min="525" max="525" width="4.28515625" style="1711" customWidth="1"/>
    <col min="526" max="526" width="3.0703125" style="1711" customWidth="1"/>
    <col min="527" max="527" width="4.5703125" style="1711" customWidth="1"/>
    <col min="528" max="528" width="4.42578125" style="1711" customWidth="1"/>
    <col min="529" max="529" width="4" style="1711" customWidth="1"/>
    <col min="530" max="530" width="3" style="1711" customWidth="1"/>
    <col min="531" max="531" width="3.92578125" style="1711" customWidth="1"/>
    <col min="532" max="532" width="4.42578125" style="1711" customWidth="1"/>
    <col min="533" max="533" width="3.42578125" style="1711" customWidth="1"/>
    <col min="534" max="534" width="4.92578125" style="1711" customWidth="1"/>
    <col min="535" max="535" width="10.5703125" style="1711" customWidth="1"/>
    <col min="536" max="536" width="7.0703125" style="1711" customWidth="1"/>
    <col min="537" max="537" width="8.0703125" style="1711" customWidth="1"/>
    <col min="538" max="540" width="7.5703125" style="1711" customWidth="1"/>
    <col min="541" max="541" width="7.0703125" style="1711" customWidth="1"/>
    <col min="542" max="767" width="9.140625" style="1711"/>
    <col min="768" max="768" width="4.42578125" style="1711" customWidth="1"/>
    <col min="769" max="769" width="20.5703125" style="1711" customWidth="1"/>
    <col min="770" max="770" width="12.42578125" style="1711" customWidth="1"/>
    <col min="771" max="771" width="12.5703125" style="1711" customWidth="1"/>
    <col min="772" max="772" width="3.92578125" style="1711" customWidth="1"/>
    <col min="773" max="773" width="4.28515625" style="1711" customWidth="1"/>
    <col min="774" max="774" width="4.0703125" style="1711" customWidth="1"/>
    <col min="775" max="775" width="4" style="1711" customWidth="1"/>
    <col min="776" max="776" width="16.42578125" style="1711" customWidth="1"/>
    <col min="777" max="777" width="5.5703125" style="1711" customWidth="1"/>
    <col min="778" max="778" width="8.5703125" style="1711" customWidth="1"/>
    <col min="779" max="779" width="5.42578125" style="1711" customWidth="1"/>
    <col min="780" max="780" width="4.42578125" style="1711" customWidth="1"/>
    <col min="781" max="781" width="4.28515625" style="1711" customWidth="1"/>
    <col min="782" max="782" width="3.0703125" style="1711" customWidth="1"/>
    <col min="783" max="783" width="4.5703125" style="1711" customWidth="1"/>
    <col min="784" max="784" width="4.42578125" style="1711" customWidth="1"/>
    <col min="785" max="785" width="4" style="1711" customWidth="1"/>
    <col min="786" max="786" width="3" style="1711" customWidth="1"/>
    <col min="787" max="787" width="3.92578125" style="1711" customWidth="1"/>
    <col min="788" max="788" width="4.42578125" style="1711" customWidth="1"/>
    <col min="789" max="789" width="3.42578125" style="1711" customWidth="1"/>
    <col min="790" max="790" width="4.92578125" style="1711" customWidth="1"/>
    <col min="791" max="791" width="10.5703125" style="1711" customWidth="1"/>
    <col min="792" max="792" width="7.0703125" style="1711" customWidth="1"/>
    <col min="793" max="793" width="8.0703125" style="1711" customWidth="1"/>
    <col min="794" max="796" width="7.5703125" style="1711" customWidth="1"/>
    <col min="797" max="797" width="7.0703125" style="1711" customWidth="1"/>
    <col min="798" max="1023" width="9.140625" style="1711"/>
    <col min="1024" max="1024" width="4.42578125" style="1711" customWidth="1"/>
    <col min="1025" max="1025" width="20.5703125" style="1711" customWidth="1"/>
    <col min="1026" max="1026" width="12.42578125" style="1711" customWidth="1"/>
    <col min="1027" max="1027" width="12.5703125" style="1711" customWidth="1"/>
    <col min="1028" max="1028" width="3.92578125" style="1711" customWidth="1"/>
    <col min="1029" max="1029" width="4.28515625" style="1711" customWidth="1"/>
    <col min="1030" max="1030" width="4.0703125" style="1711" customWidth="1"/>
    <col min="1031" max="1031" width="4" style="1711" customWidth="1"/>
    <col min="1032" max="1032" width="16.42578125" style="1711" customWidth="1"/>
    <col min="1033" max="1033" width="5.5703125" style="1711" customWidth="1"/>
    <col min="1034" max="1034" width="8.5703125" style="1711" customWidth="1"/>
    <col min="1035" max="1035" width="5.42578125" style="1711" customWidth="1"/>
    <col min="1036" max="1036" width="4.42578125" style="1711" customWidth="1"/>
    <col min="1037" max="1037" width="4.28515625" style="1711" customWidth="1"/>
    <col min="1038" max="1038" width="3.0703125" style="1711" customWidth="1"/>
    <col min="1039" max="1039" width="4.5703125" style="1711" customWidth="1"/>
    <col min="1040" max="1040" width="4.42578125" style="1711" customWidth="1"/>
    <col min="1041" max="1041" width="4" style="1711" customWidth="1"/>
    <col min="1042" max="1042" width="3" style="1711" customWidth="1"/>
    <col min="1043" max="1043" width="3.92578125" style="1711" customWidth="1"/>
    <col min="1044" max="1044" width="4.42578125" style="1711" customWidth="1"/>
    <col min="1045" max="1045" width="3.42578125" style="1711" customWidth="1"/>
    <col min="1046" max="1046" width="4.92578125" style="1711" customWidth="1"/>
    <col min="1047" max="1047" width="10.5703125" style="1711" customWidth="1"/>
    <col min="1048" max="1048" width="7.0703125" style="1711" customWidth="1"/>
    <col min="1049" max="1049" width="8.0703125" style="1711" customWidth="1"/>
    <col min="1050" max="1052" width="7.5703125" style="1711" customWidth="1"/>
    <col min="1053" max="1053" width="7.0703125" style="1711" customWidth="1"/>
    <col min="1054" max="1279" width="9.140625" style="1711"/>
    <col min="1280" max="1280" width="4.42578125" style="1711" customWidth="1"/>
    <col min="1281" max="1281" width="20.5703125" style="1711" customWidth="1"/>
    <col min="1282" max="1282" width="12.42578125" style="1711" customWidth="1"/>
    <col min="1283" max="1283" width="12.5703125" style="1711" customWidth="1"/>
    <col min="1284" max="1284" width="3.92578125" style="1711" customWidth="1"/>
    <col min="1285" max="1285" width="4.28515625" style="1711" customWidth="1"/>
    <col min="1286" max="1286" width="4.0703125" style="1711" customWidth="1"/>
    <col min="1287" max="1287" width="4" style="1711" customWidth="1"/>
    <col min="1288" max="1288" width="16.42578125" style="1711" customWidth="1"/>
    <col min="1289" max="1289" width="5.5703125" style="1711" customWidth="1"/>
    <col min="1290" max="1290" width="8.5703125" style="1711" customWidth="1"/>
    <col min="1291" max="1291" width="5.42578125" style="1711" customWidth="1"/>
    <col min="1292" max="1292" width="4.42578125" style="1711" customWidth="1"/>
    <col min="1293" max="1293" width="4.28515625" style="1711" customWidth="1"/>
    <col min="1294" max="1294" width="3.0703125" style="1711" customWidth="1"/>
    <col min="1295" max="1295" width="4.5703125" style="1711" customWidth="1"/>
    <col min="1296" max="1296" width="4.42578125" style="1711" customWidth="1"/>
    <col min="1297" max="1297" width="4" style="1711" customWidth="1"/>
    <col min="1298" max="1298" width="3" style="1711" customWidth="1"/>
    <col min="1299" max="1299" width="3.92578125" style="1711" customWidth="1"/>
    <col min="1300" max="1300" width="4.42578125" style="1711" customWidth="1"/>
    <col min="1301" max="1301" width="3.42578125" style="1711" customWidth="1"/>
    <col min="1302" max="1302" width="4.92578125" style="1711" customWidth="1"/>
    <col min="1303" max="1303" width="10.5703125" style="1711" customWidth="1"/>
    <col min="1304" max="1304" width="7.0703125" style="1711" customWidth="1"/>
    <col min="1305" max="1305" width="8.0703125" style="1711" customWidth="1"/>
    <col min="1306" max="1308" width="7.5703125" style="1711" customWidth="1"/>
    <col min="1309" max="1309" width="7.0703125" style="1711" customWidth="1"/>
    <col min="1310" max="1535" width="9.140625" style="1711"/>
    <col min="1536" max="1536" width="4.42578125" style="1711" customWidth="1"/>
    <col min="1537" max="1537" width="20.5703125" style="1711" customWidth="1"/>
    <col min="1538" max="1538" width="12.42578125" style="1711" customWidth="1"/>
    <col min="1539" max="1539" width="12.5703125" style="1711" customWidth="1"/>
    <col min="1540" max="1540" width="3.92578125" style="1711" customWidth="1"/>
    <col min="1541" max="1541" width="4.28515625" style="1711" customWidth="1"/>
    <col min="1542" max="1542" width="4.0703125" style="1711" customWidth="1"/>
    <col min="1543" max="1543" width="4" style="1711" customWidth="1"/>
    <col min="1544" max="1544" width="16.42578125" style="1711" customWidth="1"/>
    <col min="1545" max="1545" width="5.5703125" style="1711" customWidth="1"/>
    <col min="1546" max="1546" width="8.5703125" style="1711" customWidth="1"/>
    <col min="1547" max="1547" width="5.42578125" style="1711" customWidth="1"/>
    <col min="1548" max="1548" width="4.42578125" style="1711" customWidth="1"/>
    <col min="1549" max="1549" width="4.28515625" style="1711" customWidth="1"/>
    <col min="1550" max="1550" width="3.0703125" style="1711" customWidth="1"/>
    <col min="1551" max="1551" width="4.5703125" style="1711" customWidth="1"/>
    <col min="1552" max="1552" width="4.42578125" style="1711" customWidth="1"/>
    <col min="1553" max="1553" width="4" style="1711" customWidth="1"/>
    <col min="1554" max="1554" width="3" style="1711" customWidth="1"/>
    <col min="1555" max="1555" width="3.92578125" style="1711" customWidth="1"/>
    <col min="1556" max="1556" width="4.42578125" style="1711" customWidth="1"/>
    <col min="1557" max="1557" width="3.42578125" style="1711" customWidth="1"/>
    <col min="1558" max="1558" width="4.92578125" style="1711" customWidth="1"/>
    <col min="1559" max="1559" width="10.5703125" style="1711" customWidth="1"/>
    <col min="1560" max="1560" width="7.0703125" style="1711" customWidth="1"/>
    <col min="1561" max="1561" width="8.0703125" style="1711" customWidth="1"/>
    <col min="1562" max="1564" width="7.5703125" style="1711" customWidth="1"/>
    <col min="1565" max="1565" width="7.0703125" style="1711" customWidth="1"/>
    <col min="1566" max="1791" width="9.140625" style="1711"/>
    <col min="1792" max="1792" width="4.42578125" style="1711" customWidth="1"/>
    <col min="1793" max="1793" width="20.5703125" style="1711" customWidth="1"/>
    <col min="1794" max="1794" width="12.42578125" style="1711" customWidth="1"/>
    <col min="1795" max="1795" width="12.5703125" style="1711" customWidth="1"/>
    <col min="1796" max="1796" width="3.92578125" style="1711" customWidth="1"/>
    <col min="1797" max="1797" width="4.28515625" style="1711" customWidth="1"/>
    <col min="1798" max="1798" width="4.0703125" style="1711" customWidth="1"/>
    <col min="1799" max="1799" width="4" style="1711" customWidth="1"/>
    <col min="1800" max="1800" width="16.42578125" style="1711" customWidth="1"/>
    <col min="1801" max="1801" width="5.5703125" style="1711" customWidth="1"/>
    <col min="1802" max="1802" width="8.5703125" style="1711" customWidth="1"/>
    <col min="1803" max="1803" width="5.42578125" style="1711" customWidth="1"/>
    <col min="1804" max="1804" width="4.42578125" style="1711" customWidth="1"/>
    <col min="1805" max="1805" width="4.28515625" style="1711" customWidth="1"/>
    <col min="1806" max="1806" width="3.0703125" style="1711" customWidth="1"/>
    <col min="1807" max="1807" width="4.5703125" style="1711" customWidth="1"/>
    <col min="1808" max="1808" width="4.42578125" style="1711" customWidth="1"/>
    <col min="1809" max="1809" width="4" style="1711" customWidth="1"/>
    <col min="1810" max="1810" width="3" style="1711" customWidth="1"/>
    <col min="1811" max="1811" width="3.92578125" style="1711" customWidth="1"/>
    <col min="1812" max="1812" width="4.42578125" style="1711" customWidth="1"/>
    <col min="1813" max="1813" width="3.42578125" style="1711" customWidth="1"/>
    <col min="1814" max="1814" width="4.92578125" style="1711" customWidth="1"/>
    <col min="1815" max="1815" width="10.5703125" style="1711" customWidth="1"/>
    <col min="1816" max="1816" width="7.0703125" style="1711" customWidth="1"/>
    <col min="1817" max="1817" width="8.0703125" style="1711" customWidth="1"/>
    <col min="1818" max="1820" width="7.5703125" style="1711" customWidth="1"/>
    <col min="1821" max="1821" width="7.0703125" style="1711" customWidth="1"/>
    <col min="1822" max="2047" width="9.140625" style="1711"/>
    <col min="2048" max="2048" width="4.42578125" style="1711" customWidth="1"/>
    <col min="2049" max="2049" width="20.5703125" style="1711" customWidth="1"/>
    <col min="2050" max="2050" width="12.42578125" style="1711" customWidth="1"/>
    <col min="2051" max="2051" width="12.5703125" style="1711" customWidth="1"/>
    <col min="2052" max="2052" width="3.92578125" style="1711" customWidth="1"/>
    <col min="2053" max="2053" width="4.28515625" style="1711" customWidth="1"/>
    <col min="2054" max="2054" width="4.0703125" style="1711" customWidth="1"/>
    <col min="2055" max="2055" width="4" style="1711" customWidth="1"/>
    <col min="2056" max="2056" width="16.42578125" style="1711" customWidth="1"/>
    <col min="2057" max="2057" width="5.5703125" style="1711" customWidth="1"/>
    <col min="2058" max="2058" width="8.5703125" style="1711" customWidth="1"/>
    <col min="2059" max="2059" width="5.42578125" style="1711" customWidth="1"/>
    <col min="2060" max="2060" width="4.42578125" style="1711" customWidth="1"/>
    <col min="2061" max="2061" width="4.28515625" style="1711" customWidth="1"/>
    <col min="2062" max="2062" width="3.0703125" style="1711" customWidth="1"/>
    <col min="2063" max="2063" width="4.5703125" style="1711" customWidth="1"/>
    <col min="2064" max="2064" width="4.42578125" style="1711" customWidth="1"/>
    <col min="2065" max="2065" width="4" style="1711" customWidth="1"/>
    <col min="2066" max="2066" width="3" style="1711" customWidth="1"/>
    <col min="2067" max="2067" width="3.92578125" style="1711" customWidth="1"/>
    <col min="2068" max="2068" width="4.42578125" style="1711" customWidth="1"/>
    <col min="2069" max="2069" width="3.42578125" style="1711" customWidth="1"/>
    <col min="2070" max="2070" width="4.92578125" style="1711" customWidth="1"/>
    <col min="2071" max="2071" width="10.5703125" style="1711" customWidth="1"/>
    <col min="2072" max="2072" width="7.0703125" style="1711" customWidth="1"/>
    <col min="2073" max="2073" width="8.0703125" style="1711" customWidth="1"/>
    <col min="2074" max="2076" width="7.5703125" style="1711" customWidth="1"/>
    <col min="2077" max="2077" width="7.0703125" style="1711" customWidth="1"/>
    <col min="2078" max="2303" width="9.140625" style="1711"/>
    <col min="2304" max="2304" width="4.42578125" style="1711" customWidth="1"/>
    <col min="2305" max="2305" width="20.5703125" style="1711" customWidth="1"/>
    <col min="2306" max="2306" width="12.42578125" style="1711" customWidth="1"/>
    <col min="2307" max="2307" width="12.5703125" style="1711" customWidth="1"/>
    <col min="2308" max="2308" width="3.92578125" style="1711" customWidth="1"/>
    <col min="2309" max="2309" width="4.28515625" style="1711" customWidth="1"/>
    <col min="2310" max="2310" width="4.0703125" style="1711" customWidth="1"/>
    <col min="2311" max="2311" width="4" style="1711" customWidth="1"/>
    <col min="2312" max="2312" width="16.42578125" style="1711" customWidth="1"/>
    <col min="2313" max="2313" width="5.5703125" style="1711" customWidth="1"/>
    <col min="2314" max="2314" width="8.5703125" style="1711" customWidth="1"/>
    <col min="2315" max="2315" width="5.42578125" style="1711" customWidth="1"/>
    <col min="2316" max="2316" width="4.42578125" style="1711" customWidth="1"/>
    <col min="2317" max="2317" width="4.28515625" style="1711" customWidth="1"/>
    <col min="2318" max="2318" width="3.0703125" style="1711" customWidth="1"/>
    <col min="2319" max="2319" width="4.5703125" style="1711" customWidth="1"/>
    <col min="2320" max="2320" width="4.42578125" style="1711" customWidth="1"/>
    <col min="2321" max="2321" width="4" style="1711" customWidth="1"/>
    <col min="2322" max="2322" width="3" style="1711" customWidth="1"/>
    <col min="2323" max="2323" width="3.92578125" style="1711" customWidth="1"/>
    <col min="2324" max="2324" width="4.42578125" style="1711" customWidth="1"/>
    <col min="2325" max="2325" width="3.42578125" style="1711" customWidth="1"/>
    <col min="2326" max="2326" width="4.92578125" style="1711" customWidth="1"/>
    <col min="2327" max="2327" width="10.5703125" style="1711" customWidth="1"/>
    <col min="2328" max="2328" width="7.0703125" style="1711" customWidth="1"/>
    <col min="2329" max="2329" width="8.0703125" style="1711" customWidth="1"/>
    <col min="2330" max="2332" width="7.5703125" style="1711" customWidth="1"/>
    <col min="2333" max="2333" width="7.0703125" style="1711" customWidth="1"/>
    <col min="2334" max="2559" width="9.140625" style="1711"/>
    <col min="2560" max="2560" width="4.42578125" style="1711" customWidth="1"/>
    <col min="2561" max="2561" width="20.5703125" style="1711" customWidth="1"/>
    <col min="2562" max="2562" width="12.42578125" style="1711" customWidth="1"/>
    <col min="2563" max="2563" width="12.5703125" style="1711" customWidth="1"/>
    <col min="2564" max="2564" width="3.92578125" style="1711" customWidth="1"/>
    <col min="2565" max="2565" width="4.28515625" style="1711" customWidth="1"/>
    <col min="2566" max="2566" width="4.0703125" style="1711" customWidth="1"/>
    <col min="2567" max="2567" width="4" style="1711" customWidth="1"/>
    <col min="2568" max="2568" width="16.42578125" style="1711" customWidth="1"/>
    <col min="2569" max="2569" width="5.5703125" style="1711" customWidth="1"/>
    <col min="2570" max="2570" width="8.5703125" style="1711" customWidth="1"/>
    <col min="2571" max="2571" width="5.42578125" style="1711" customWidth="1"/>
    <col min="2572" max="2572" width="4.42578125" style="1711" customWidth="1"/>
    <col min="2573" max="2573" width="4.28515625" style="1711" customWidth="1"/>
    <col min="2574" max="2574" width="3.0703125" style="1711" customWidth="1"/>
    <col min="2575" max="2575" width="4.5703125" style="1711" customWidth="1"/>
    <col min="2576" max="2576" width="4.42578125" style="1711" customWidth="1"/>
    <col min="2577" max="2577" width="4" style="1711" customWidth="1"/>
    <col min="2578" max="2578" width="3" style="1711" customWidth="1"/>
    <col min="2579" max="2579" width="3.92578125" style="1711" customWidth="1"/>
    <col min="2580" max="2580" width="4.42578125" style="1711" customWidth="1"/>
    <col min="2581" max="2581" width="3.42578125" style="1711" customWidth="1"/>
    <col min="2582" max="2582" width="4.92578125" style="1711" customWidth="1"/>
    <col min="2583" max="2583" width="10.5703125" style="1711" customWidth="1"/>
    <col min="2584" max="2584" width="7.0703125" style="1711" customWidth="1"/>
    <col min="2585" max="2585" width="8.0703125" style="1711" customWidth="1"/>
    <col min="2586" max="2588" width="7.5703125" style="1711" customWidth="1"/>
    <col min="2589" max="2589" width="7.0703125" style="1711" customWidth="1"/>
    <col min="2590" max="2815" width="9.140625" style="1711"/>
    <col min="2816" max="2816" width="4.42578125" style="1711" customWidth="1"/>
    <col min="2817" max="2817" width="20.5703125" style="1711" customWidth="1"/>
    <col min="2818" max="2818" width="12.42578125" style="1711" customWidth="1"/>
    <col min="2819" max="2819" width="12.5703125" style="1711" customWidth="1"/>
    <col min="2820" max="2820" width="3.92578125" style="1711" customWidth="1"/>
    <col min="2821" max="2821" width="4.28515625" style="1711" customWidth="1"/>
    <col min="2822" max="2822" width="4.0703125" style="1711" customWidth="1"/>
    <col min="2823" max="2823" width="4" style="1711" customWidth="1"/>
    <col min="2824" max="2824" width="16.42578125" style="1711" customWidth="1"/>
    <col min="2825" max="2825" width="5.5703125" style="1711" customWidth="1"/>
    <col min="2826" max="2826" width="8.5703125" style="1711" customWidth="1"/>
    <col min="2827" max="2827" width="5.42578125" style="1711" customWidth="1"/>
    <col min="2828" max="2828" width="4.42578125" style="1711" customWidth="1"/>
    <col min="2829" max="2829" width="4.28515625" style="1711" customWidth="1"/>
    <col min="2830" max="2830" width="3.0703125" style="1711" customWidth="1"/>
    <col min="2831" max="2831" width="4.5703125" style="1711" customWidth="1"/>
    <col min="2832" max="2832" width="4.42578125" style="1711" customWidth="1"/>
    <col min="2833" max="2833" width="4" style="1711" customWidth="1"/>
    <col min="2834" max="2834" width="3" style="1711" customWidth="1"/>
    <col min="2835" max="2835" width="3.92578125" style="1711" customWidth="1"/>
    <col min="2836" max="2836" width="4.42578125" style="1711" customWidth="1"/>
    <col min="2837" max="2837" width="3.42578125" style="1711" customWidth="1"/>
    <col min="2838" max="2838" width="4.92578125" style="1711" customWidth="1"/>
    <col min="2839" max="2839" width="10.5703125" style="1711" customWidth="1"/>
    <col min="2840" max="2840" width="7.0703125" style="1711" customWidth="1"/>
    <col min="2841" max="2841" width="8.0703125" style="1711" customWidth="1"/>
    <col min="2842" max="2844" width="7.5703125" style="1711" customWidth="1"/>
    <col min="2845" max="2845" width="7.0703125" style="1711" customWidth="1"/>
    <col min="2846" max="3071" width="9.140625" style="1711"/>
    <col min="3072" max="3072" width="4.42578125" style="1711" customWidth="1"/>
    <col min="3073" max="3073" width="20.5703125" style="1711" customWidth="1"/>
    <col min="3074" max="3074" width="12.42578125" style="1711" customWidth="1"/>
    <col min="3075" max="3075" width="12.5703125" style="1711" customWidth="1"/>
    <col min="3076" max="3076" width="3.92578125" style="1711" customWidth="1"/>
    <col min="3077" max="3077" width="4.28515625" style="1711" customWidth="1"/>
    <col min="3078" max="3078" width="4.0703125" style="1711" customWidth="1"/>
    <col min="3079" max="3079" width="4" style="1711" customWidth="1"/>
    <col min="3080" max="3080" width="16.42578125" style="1711" customWidth="1"/>
    <col min="3081" max="3081" width="5.5703125" style="1711" customWidth="1"/>
    <col min="3082" max="3082" width="8.5703125" style="1711" customWidth="1"/>
    <col min="3083" max="3083" width="5.42578125" style="1711" customWidth="1"/>
    <col min="3084" max="3084" width="4.42578125" style="1711" customWidth="1"/>
    <col min="3085" max="3085" width="4.28515625" style="1711" customWidth="1"/>
    <col min="3086" max="3086" width="3.0703125" style="1711" customWidth="1"/>
    <col min="3087" max="3087" width="4.5703125" style="1711" customWidth="1"/>
    <col min="3088" max="3088" width="4.42578125" style="1711" customWidth="1"/>
    <col min="3089" max="3089" width="4" style="1711" customWidth="1"/>
    <col min="3090" max="3090" width="3" style="1711" customWidth="1"/>
    <col min="3091" max="3091" width="3.92578125" style="1711" customWidth="1"/>
    <col min="3092" max="3092" width="4.42578125" style="1711" customWidth="1"/>
    <col min="3093" max="3093" width="3.42578125" style="1711" customWidth="1"/>
    <col min="3094" max="3094" width="4.92578125" style="1711" customWidth="1"/>
    <col min="3095" max="3095" width="10.5703125" style="1711" customWidth="1"/>
    <col min="3096" max="3096" width="7.0703125" style="1711" customWidth="1"/>
    <col min="3097" max="3097" width="8.0703125" style="1711" customWidth="1"/>
    <col min="3098" max="3100" width="7.5703125" style="1711" customWidth="1"/>
    <col min="3101" max="3101" width="7.0703125" style="1711" customWidth="1"/>
    <col min="3102" max="3327" width="9.140625" style="1711"/>
    <col min="3328" max="3328" width="4.42578125" style="1711" customWidth="1"/>
    <col min="3329" max="3329" width="20.5703125" style="1711" customWidth="1"/>
    <col min="3330" max="3330" width="12.42578125" style="1711" customWidth="1"/>
    <col min="3331" max="3331" width="12.5703125" style="1711" customWidth="1"/>
    <col min="3332" max="3332" width="3.92578125" style="1711" customWidth="1"/>
    <col min="3333" max="3333" width="4.28515625" style="1711" customWidth="1"/>
    <col min="3334" max="3334" width="4.0703125" style="1711" customWidth="1"/>
    <col min="3335" max="3335" width="4" style="1711" customWidth="1"/>
    <col min="3336" max="3336" width="16.42578125" style="1711" customWidth="1"/>
    <col min="3337" max="3337" width="5.5703125" style="1711" customWidth="1"/>
    <col min="3338" max="3338" width="8.5703125" style="1711" customWidth="1"/>
    <col min="3339" max="3339" width="5.42578125" style="1711" customWidth="1"/>
    <col min="3340" max="3340" width="4.42578125" style="1711" customWidth="1"/>
    <col min="3341" max="3341" width="4.28515625" style="1711" customWidth="1"/>
    <col min="3342" max="3342" width="3.0703125" style="1711" customWidth="1"/>
    <col min="3343" max="3343" width="4.5703125" style="1711" customWidth="1"/>
    <col min="3344" max="3344" width="4.42578125" style="1711" customWidth="1"/>
    <col min="3345" max="3345" width="4" style="1711" customWidth="1"/>
    <col min="3346" max="3346" width="3" style="1711" customWidth="1"/>
    <col min="3347" max="3347" width="3.92578125" style="1711" customWidth="1"/>
    <col min="3348" max="3348" width="4.42578125" style="1711" customWidth="1"/>
    <col min="3349" max="3349" width="3.42578125" style="1711" customWidth="1"/>
    <col min="3350" max="3350" width="4.92578125" style="1711" customWidth="1"/>
    <col min="3351" max="3351" width="10.5703125" style="1711" customWidth="1"/>
    <col min="3352" max="3352" width="7.0703125" style="1711" customWidth="1"/>
    <col min="3353" max="3353" width="8.0703125" style="1711" customWidth="1"/>
    <col min="3354" max="3356" width="7.5703125" style="1711" customWidth="1"/>
    <col min="3357" max="3357" width="7.0703125" style="1711" customWidth="1"/>
    <col min="3358" max="3583" width="9.140625" style="1711"/>
    <col min="3584" max="3584" width="4.42578125" style="1711" customWidth="1"/>
    <col min="3585" max="3585" width="20.5703125" style="1711" customWidth="1"/>
    <col min="3586" max="3586" width="12.42578125" style="1711" customWidth="1"/>
    <col min="3587" max="3587" width="12.5703125" style="1711" customWidth="1"/>
    <col min="3588" max="3588" width="3.92578125" style="1711" customWidth="1"/>
    <col min="3589" max="3589" width="4.28515625" style="1711" customWidth="1"/>
    <col min="3590" max="3590" width="4.0703125" style="1711" customWidth="1"/>
    <col min="3591" max="3591" width="4" style="1711" customWidth="1"/>
    <col min="3592" max="3592" width="16.42578125" style="1711" customWidth="1"/>
    <col min="3593" max="3593" width="5.5703125" style="1711" customWidth="1"/>
    <col min="3594" max="3594" width="8.5703125" style="1711" customWidth="1"/>
    <col min="3595" max="3595" width="5.42578125" style="1711" customWidth="1"/>
    <col min="3596" max="3596" width="4.42578125" style="1711" customWidth="1"/>
    <col min="3597" max="3597" width="4.28515625" style="1711" customWidth="1"/>
    <col min="3598" max="3598" width="3.0703125" style="1711" customWidth="1"/>
    <col min="3599" max="3599" width="4.5703125" style="1711" customWidth="1"/>
    <col min="3600" max="3600" width="4.42578125" style="1711" customWidth="1"/>
    <col min="3601" max="3601" width="4" style="1711" customWidth="1"/>
    <col min="3602" max="3602" width="3" style="1711" customWidth="1"/>
    <col min="3603" max="3603" width="3.92578125" style="1711" customWidth="1"/>
    <col min="3604" max="3604" width="4.42578125" style="1711" customWidth="1"/>
    <col min="3605" max="3605" width="3.42578125" style="1711" customWidth="1"/>
    <col min="3606" max="3606" width="4.92578125" style="1711" customWidth="1"/>
    <col min="3607" max="3607" width="10.5703125" style="1711" customWidth="1"/>
    <col min="3608" max="3608" width="7.0703125" style="1711" customWidth="1"/>
    <col min="3609" max="3609" width="8.0703125" style="1711" customWidth="1"/>
    <col min="3610" max="3612" width="7.5703125" style="1711" customWidth="1"/>
    <col min="3613" max="3613" width="7.0703125" style="1711" customWidth="1"/>
    <col min="3614" max="3839" width="9.140625" style="1711"/>
    <col min="3840" max="3840" width="4.42578125" style="1711" customWidth="1"/>
    <col min="3841" max="3841" width="20.5703125" style="1711" customWidth="1"/>
    <col min="3842" max="3842" width="12.42578125" style="1711" customWidth="1"/>
    <col min="3843" max="3843" width="12.5703125" style="1711" customWidth="1"/>
    <col min="3844" max="3844" width="3.92578125" style="1711" customWidth="1"/>
    <col min="3845" max="3845" width="4.28515625" style="1711" customWidth="1"/>
    <col min="3846" max="3846" width="4.0703125" style="1711" customWidth="1"/>
    <col min="3847" max="3847" width="4" style="1711" customWidth="1"/>
    <col min="3848" max="3848" width="16.42578125" style="1711" customWidth="1"/>
    <col min="3849" max="3849" width="5.5703125" style="1711" customWidth="1"/>
    <col min="3850" max="3850" width="8.5703125" style="1711" customWidth="1"/>
    <col min="3851" max="3851" width="5.42578125" style="1711" customWidth="1"/>
    <col min="3852" max="3852" width="4.42578125" style="1711" customWidth="1"/>
    <col min="3853" max="3853" width="4.28515625" style="1711" customWidth="1"/>
    <col min="3854" max="3854" width="3.0703125" style="1711" customWidth="1"/>
    <col min="3855" max="3855" width="4.5703125" style="1711" customWidth="1"/>
    <col min="3856" max="3856" width="4.42578125" style="1711" customWidth="1"/>
    <col min="3857" max="3857" width="4" style="1711" customWidth="1"/>
    <col min="3858" max="3858" width="3" style="1711" customWidth="1"/>
    <col min="3859" max="3859" width="3.92578125" style="1711" customWidth="1"/>
    <col min="3860" max="3860" width="4.42578125" style="1711" customWidth="1"/>
    <col min="3861" max="3861" width="3.42578125" style="1711" customWidth="1"/>
    <col min="3862" max="3862" width="4.92578125" style="1711" customWidth="1"/>
    <col min="3863" max="3863" width="10.5703125" style="1711" customWidth="1"/>
    <col min="3864" max="3864" width="7.0703125" style="1711" customWidth="1"/>
    <col min="3865" max="3865" width="8.0703125" style="1711" customWidth="1"/>
    <col min="3866" max="3868" width="7.5703125" style="1711" customWidth="1"/>
    <col min="3869" max="3869" width="7.0703125" style="1711" customWidth="1"/>
    <col min="3870" max="4095" width="9.140625" style="1711"/>
    <col min="4096" max="4096" width="4.42578125" style="1711" customWidth="1"/>
    <col min="4097" max="4097" width="20.5703125" style="1711" customWidth="1"/>
    <col min="4098" max="4098" width="12.42578125" style="1711" customWidth="1"/>
    <col min="4099" max="4099" width="12.5703125" style="1711" customWidth="1"/>
    <col min="4100" max="4100" width="3.92578125" style="1711" customWidth="1"/>
    <col min="4101" max="4101" width="4.28515625" style="1711" customWidth="1"/>
    <col min="4102" max="4102" width="4.0703125" style="1711" customWidth="1"/>
    <col min="4103" max="4103" width="4" style="1711" customWidth="1"/>
    <col min="4104" max="4104" width="16.42578125" style="1711" customWidth="1"/>
    <col min="4105" max="4105" width="5.5703125" style="1711" customWidth="1"/>
    <col min="4106" max="4106" width="8.5703125" style="1711" customWidth="1"/>
    <col min="4107" max="4107" width="5.42578125" style="1711" customWidth="1"/>
    <col min="4108" max="4108" width="4.42578125" style="1711" customWidth="1"/>
    <col min="4109" max="4109" width="4.28515625" style="1711" customWidth="1"/>
    <col min="4110" max="4110" width="3.0703125" style="1711" customWidth="1"/>
    <col min="4111" max="4111" width="4.5703125" style="1711" customWidth="1"/>
    <col min="4112" max="4112" width="4.42578125" style="1711" customWidth="1"/>
    <col min="4113" max="4113" width="4" style="1711" customWidth="1"/>
    <col min="4114" max="4114" width="3" style="1711" customWidth="1"/>
    <col min="4115" max="4115" width="3.92578125" style="1711" customWidth="1"/>
    <col min="4116" max="4116" width="4.42578125" style="1711" customWidth="1"/>
    <col min="4117" max="4117" width="3.42578125" style="1711" customWidth="1"/>
    <col min="4118" max="4118" width="4.92578125" style="1711" customWidth="1"/>
    <col min="4119" max="4119" width="10.5703125" style="1711" customWidth="1"/>
    <col min="4120" max="4120" width="7.0703125" style="1711" customWidth="1"/>
    <col min="4121" max="4121" width="8.0703125" style="1711" customWidth="1"/>
    <col min="4122" max="4124" width="7.5703125" style="1711" customWidth="1"/>
    <col min="4125" max="4125" width="7.0703125" style="1711" customWidth="1"/>
    <col min="4126" max="4351" width="9.140625" style="1711"/>
    <col min="4352" max="4352" width="4.42578125" style="1711" customWidth="1"/>
    <col min="4353" max="4353" width="20.5703125" style="1711" customWidth="1"/>
    <col min="4354" max="4354" width="12.42578125" style="1711" customWidth="1"/>
    <col min="4355" max="4355" width="12.5703125" style="1711" customWidth="1"/>
    <col min="4356" max="4356" width="3.92578125" style="1711" customWidth="1"/>
    <col min="4357" max="4357" width="4.28515625" style="1711" customWidth="1"/>
    <col min="4358" max="4358" width="4.0703125" style="1711" customWidth="1"/>
    <col min="4359" max="4359" width="4" style="1711" customWidth="1"/>
    <col min="4360" max="4360" width="16.42578125" style="1711" customWidth="1"/>
    <col min="4361" max="4361" width="5.5703125" style="1711" customWidth="1"/>
    <col min="4362" max="4362" width="8.5703125" style="1711" customWidth="1"/>
    <col min="4363" max="4363" width="5.42578125" style="1711" customWidth="1"/>
    <col min="4364" max="4364" width="4.42578125" style="1711" customWidth="1"/>
    <col min="4365" max="4365" width="4.28515625" style="1711" customWidth="1"/>
    <col min="4366" max="4366" width="3.0703125" style="1711" customWidth="1"/>
    <col min="4367" max="4367" width="4.5703125" style="1711" customWidth="1"/>
    <col min="4368" max="4368" width="4.42578125" style="1711" customWidth="1"/>
    <col min="4369" max="4369" width="4" style="1711" customWidth="1"/>
    <col min="4370" max="4370" width="3" style="1711" customWidth="1"/>
    <col min="4371" max="4371" width="3.92578125" style="1711" customWidth="1"/>
    <col min="4372" max="4372" width="4.42578125" style="1711" customWidth="1"/>
    <col min="4373" max="4373" width="3.42578125" style="1711" customWidth="1"/>
    <col min="4374" max="4374" width="4.92578125" style="1711" customWidth="1"/>
    <col min="4375" max="4375" width="10.5703125" style="1711" customWidth="1"/>
    <col min="4376" max="4376" width="7.0703125" style="1711" customWidth="1"/>
    <col min="4377" max="4377" width="8.0703125" style="1711" customWidth="1"/>
    <col min="4378" max="4380" width="7.5703125" style="1711" customWidth="1"/>
    <col min="4381" max="4381" width="7.0703125" style="1711" customWidth="1"/>
    <col min="4382" max="4607" width="9.140625" style="1711"/>
    <col min="4608" max="4608" width="4.42578125" style="1711" customWidth="1"/>
    <col min="4609" max="4609" width="20.5703125" style="1711" customWidth="1"/>
    <col min="4610" max="4610" width="12.42578125" style="1711" customWidth="1"/>
    <col min="4611" max="4611" width="12.5703125" style="1711" customWidth="1"/>
    <col min="4612" max="4612" width="3.92578125" style="1711" customWidth="1"/>
    <col min="4613" max="4613" width="4.28515625" style="1711" customWidth="1"/>
    <col min="4614" max="4614" width="4.0703125" style="1711" customWidth="1"/>
    <col min="4615" max="4615" width="4" style="1711" customWidth="1"/>
    <col min="4616" max="4616" width="16.42578125" style="1711" customWidth="1"/>
    <col min="4617" max="4617" width="5.5703125" style="1711" customWidth="1"/>
    <col min="4618" max="4618" width="8.5703125" style="1711" customWidth="1"/>
    <col min="4619" max="4619" width="5.42578125" style="1711" customWidth="1"/>
    <col min="4620" max="4620" width="4.42578125" style="1711" customWidth="1"/>
    <col min="4621" max="4621" width="4.28515625" style="1711" customWidth="1"/>
    <col min="4622" max="4622" width="3.0703125" style="1711" customWidth="1"/>
    <col min="4623" max="4623" width="4.5703125" style="1711" customWidth="1"/>
    <col min="4624" max="4624" width="4.42578125" style="1711" customWidth="1"/>
    <col min="4625" max="4625" width="4" style="1711" customWidth="1"/>
    <col min="4626" max="4626" width="3" style="1711" customWidth="1"/>
    <col min="4627" max="4627" width="3.92578125" style="1711" customWidth="1"/>
    <col min="4628" max="4628" width="4.42578125" style="1711" customWidth="1"/>
    <col min="4629" max="4629" width="3.42578125" style="1711" customWidth="1"/>
    <col min="4630" max="4630" width="4.92578125" style="1711" customWidth="1"/>
    <col min="4631" max="4631" width="10.5703125" style="1711" customWidth="1"/>
    <col min="4632" max="4632" width="7.0703125" style="1711" customWidth="1"/>
    <col min="4633" max="4633" width="8.0703125" style="1711" customWidth="1"/>
    <col min="4634" max="4636" width="7.5703125" style="1711" customWidth="1"/>
    <col min="4637" max="4637" width="7.0703125" style="1711" customWidth="1"/>
    <col min="4638" max="4863" width="9.140625" style="1711"/>
    <col min="4864" max="4864" width="4.42578125" style="1711" customWidth="1"/>
    <col min="4865" max="4865" width="20.5703125" style="1711" customWidth="1"/>
    <col min="4866" max="4866" width="12.42578125" style="1711" customWidth="1"/>
    <col min="4867" max="4867" width="12.5703125" style="1711" customWidth="1"/>
    <col min="4868" max="4868" width="3.92578125" style="1711" customWidth="1"/>
    <col min="4869" max="4869" width="4.28515625" style="1711" customWidth="1"/>
    <col min="4870" max="4870" width="4.0703125" style="1711" customWidth="1"/>
    <col min="4871" max="4871" width="4" style="1711" customWidth="1"/>
    <col min="4872" max="4872" width="16.42578125" style="1711" customWidth="1"/>
    <col min="4873" max="4873" width="5.5703125" style="1711" customWidth="1"/>
    <col min="4874" max="4874" width="8.5703125" style="1711" customWidth="1"/>
    <col min="4875" max="4875" width="5.42578125" style="1711" customWidth="1"/>
    <col min="4876" max="4876" width="4.42578125" style="1711" customWidth="1"/>
    <col min="4877" max="4877" width="4.28515625" style="1711" customWidth="1"/>
    <col min="4878" max="4878" width="3.0703125" style="1711" customWidth="1"/>
    <col min="4879" max="4879" width="4.5703125" style="1711" customWidth="1"/>
    <col min="4880" max="4880" width="4.42578125" style="1711" customWidth="1"/>
    <col min="4881" max="4881" width="4" style="1711" customWidth="1"/>
    <col min="4882" max="4882" width="3" style="1711" customWidth="1"/>
    <col min="4883" max="4883" width="3.92578125" style="1711" customWidth="1"/>
    <col min="4884" max="4884" width="4.42578125" style="1711" customWidth="1"/>
    <col min="4885" max="4885" width="3.42578125" style="1711" customWidth="1"/>
    <col min="4886" max="4886" width="4.92578125" style="1711" customWidth="1"/>
    <col min="4887" max="4887" width="10.5703125" style="1711" customWidth="1"/>
    <col min="4888" max="4888" width="7.0703125" style="1711" customWidth="1"/>
    <col min="4889" max="4889" width="8.0703125" style="1711" customWidth="1"/>
    <col min="4890" max="4892" width="7.5703125" style="1711" customWidth="1"/>
    <col min="4893" max="4893" width="7.0703125" style="1711" customWidth="1"/>
    <col min="4894" max="5119" width="9.140625" style="1711"/>
    <col min="5120" max="5120" width="4.42578125" style="1711" customWidth="1"/>
    <col min="5121" max="5121" width="20.5703125" style="1711" customWidth="1"/>
    <col min="5122" max="5122" width="12.42578125" style="1711" customWidth="1"/>
    <col min="5123" max="5123" width="12.5703125" style="1711" customWidth="1"/>
    <col min="5124" max="5124" width="3.92578125" style="1711" customWidth="1"/>
    <col min="5125" max="5125" width="4.28515625" style="1711" customWidth="1"/>
    <col min="5126" max="5126" width="4.0703125" style="1711" customWidth="1"/>
    <col min="5127" max="5127" width="4" style="1711" customWidth="1"/>
    <col min="5128" max="5128" width="16.42578125" style="1711" customWidth="1"/>
    <col min="5129" max="5129" width="5.5703125" style="1711" customWidth="1"/>
    <col min="5130" max="5130" width="8.5703125" style="1711" customWidth="1"/>
    <col min="5131" max="5131" width="5.42578125" style="1711" customWidth="1"/>
    <col min="5132" max="5132" width="4.42578125" style="1711" customWidth="1"/>
    <col min="5133" max="5133" width="4.28515625" style="1711" customWidth="1"/>
    <col min="5134" max="5134" width="3.0703125" style="1711" customWidth="1"/>
    <col min="5135" max="5135" width="4.5703125" style="1711" customWidth="1"/>
    <col min="5136" max="5136" width="4.42578125" style="1711" customWidth="1"/>
    <col min="5137" max="5137" width="4" style="1711" customWidth="1"/>
    <col min="5138" max="5138" width="3" style="1711" customWidth="1"/>
    <col min="5139" max="5139" width="3.92578125" style="1711" customWidth="1"/>
    <col min="5140" max="5140" width="4.42578125" style="1711" customWidth="1"/>
    <col min="5141" max="5141" width="3.42578125" style="1711" customWidth="1"/>
    <col min="5142" max="5142" width="4.92578125" style="1711" customWidth="1"/>
    <col min="5143" max="5143" width="10.5703125" style="1711" customWidth="1"/>
    <col min="5144" max="5144" width="7.0703125" style="1711" customWidth="1"/>
    <col min="5145" max="5145" width="8.0703125" style="1711" customWidth="1"/>
    <col min="5146" max="5148" width="7.5703125" style="1711" customWidth="1"/>
    <col min="5149" max="5149" width="7.0703125" style="1711" customWidth="1"/>
    <col min="5150" max="5375" width="9.140625" style="1711"/>
    <col min="5376" max="5376" width="4.42578125" style="1711" customWidth="1"/>
    <col min="5377" max="5377" width="20.5703125" style="1711" customWidth="1"/>
    <col min="5378" max="5378" width="12.42578125" style="1711" customWidth="1"/>
    <col min="5379" max="5379" width="12.5703125" style="1711" customWidth="1"/>
    <col min="5380" max="5380" width="3.92578125" style="1711" customWidth="1"/>
    <col min="5381" max="5381" width="4.28515625" style="1711" customWidth="1"/>
    <col min="5382" max="5382" width="4.0703125" style="1711" customWidth="1"/>
    <col min="5383" max="5383" width="4" style="1711" customWidth="1"/>
    <col min="5384" max="5384" width="16.42578125" style="1711" customWidth="1"/>
    <col min="5385" max="5385" width="5.5703125" style="1711" customWidth="1"/>
    <col min="5386" max="5386" width="8.5703125" style="1711" customWidth="1"/>
    <col min="5387" max="5387" width="5.42578125" style="1711" customWidth="1"/>
    <col min="5388" max="5388" width="4.42578125" style="1711" customWidth="1"/>
    <col min="5389" max="5389" width="4.28515625" style="1711" customWidth="1"/>
    <col min="5390" max="5390" width="3.0703125" style="1711" customWidth="1"/>
    <col min="5391" max="5391" width="4.5703125" style="1711" customWidth="1"/>
    <col min="5392" max="5392" width="4.42578125" style="1711" customWidth="1"/>
    <col min="5393" max="5393" width="4" style="1711" customWidth="1"/>
    <col min="5394" max="5394" width="3" style="1711" customWidth="1"/>
    <col min="5395" max="5395" width="3.92578125" style="1711" customWidth="1"/>
    <col min="5396" max="5396" width="4.42578125" style="1711" customWidth="1"/>
    <col min="5397" max="5397" width="3.42578125" style="1711" customWidth="1"/>
    <col min="5398" max="5398" width="4.92578125" style="1711" customWidth="1"/>
    <col min="5399" max="5399" width="10.5703125" style="1711" customWidth="1"/>
    <col min="5400" max="5400" width="7.0703125" style="1711" customWidth="1"/>
    <col min="5401" max="5401" width="8.0703125" style="1711" customWidth="1"/>
    <col min="5402" max="5404" width="7.5703125" style="1711" customWidth="1"/>
    <col min="5405" max="5405" width="7.0703125" style="1711" customWidth="1"/>
    <col min="5406" max="5631" width="9.140625" style="1711"/>
    <col min="5632" max="5632" width="4.42578125" style="1711" customWidth="1"/>
    <col min="5633" max="5633" width="20.5703125" style="1711" customWidth="1"/>
    <col min="5634" max="5634" width="12.42578125" style="1711" customWidth="1"/>
    <col min="5635" max="5635" width="12.5703125" style="1711" customWidth="1"/>
    <col min="5636" max="5636" width="3.92578125" style="1711" customWidth="1"/>
    <col min="5637" max="5637" width="4.28515625" style="1711" customWidth="1"/>
    <col min="5638" max="5638" width="4.0703125" style="1711" customWidth="1"/>
    <col min="5639" max="5639" width="4" style="1711" customWidth="1"/>
    <col min="5640" max="5640" width="16.42578125" style="1711" customWidth="1"/>
    <col min="5641" max="5641" width="5.5703125" style="1711" customWidth="1"/>
    <col min="5642" max="5642" width="8.5703125" style="1711" customWidth="1"/>
    <col min="5643" max="5643" width="5.42578125" style="1711" customWidth="1"/>
    <col min="5644" max="5644" width="4.42578125" style="1711" customWidth="1"/>
    <col min="5645" max="5645" width="4.28515625" style="1711" customWidth="1"/>
    <col min="5646" max="5646" width="3.0703125" style="1711" customWidth="1"/>
    <col min="5647" max="5647" width="4.5703125" style="1711" customWidth="1"/>
    <col min="5648" max="5648" width="4.42578125" style="1711" customWidth="1"/>
    <col min="5649" max="5649" width="4" style="1711" customWidth="1"/>
    <col min="5650" max="5650" width="3" style="1711" customWidth="1"/>
    <col min="5651" max="5651" width="3.92578125" style="1711" customWidth="1"/>
    <col min="5652" max="5652" width="4.42578125" style="1711" customWidth="1"/>
    <col min="5653" max="5653" width="3.42578125" style="1711" customWidth="1"/>
    <col min="5654" max="5654" width="4.92578125" style="1711" customWidth="1"/>
    <col min="5655" max="5655" width="10.5703125" style="1711" customWidth="1"/>
    <col min="5656" max="5656" width="7.0703125" style="1711" customWidth="1"/>
    <col min="5657" max="5657" width="8.0703125" style="1711" customWidth="1"/>
    <col min="5658" max="5660" width="7.5703125" style="1711" customWidth="1"/>
    <col min="5661" max="5661" width="7.0703125" style="1711" customWidth="1"/>
    <col min="5662" max="5887" width="9.140625" style="1711"/>
    <col min="5888" max="5888" width="4.42578125" style="1711" customWidth="1"/>
    <col min="5889" max="5889" width="20.5703125" style="1711" customWidth="1"/>
    <col min="5890" max="5890" width="12.42578125" style="1711" customWidth="1"/>
    <col min="5891" max="5891" width="12.5703125" style="1711" customWidth="1"/>
    <col min="5892" max="5892" width="3.92578125" style="1711" customWidth="1"/>
    <col min="5893" max="5893" width="4.28515625" style="1711" customWidth="1"/>
    <col min="5894" max="5894" width="4.0703125" style="1711" customWidth="1"/>
    <col min="5895" max="5895" width="4" style="1711" customWidth="1"/>
    <col min="5896" max="5896" width="16.42578125" style="1711" customWidth="1"/>
    <col min="5897" max="5897" width="5.5703125" style="1711" customWidth="1"/>
    <col min="5898" max="5898" width="8.5703125" style="1711" customWidth="1"/>
    <col min="5899" max="5899" width="5.42578125" style="1711" customWidth="1"/>
    <col min="5900" max="5900" width="4.42578125" style="1711" customWidth="1"/>
    <col min="5901" max="5901" width="4.28515625" style="1711" customWidth="1"/>
    <col min="5902" max="5902" width="3.0703125" style="1711" customWidth="1"/>
    <col min="5903" max="5903" width="4.5703125" style="1711" customWidth="1"/>
    <col min="5904" max="5904" width="4.42578125" style="1711" customWidth="1"/>
    <col min="5905" max="5905" width="4" style="1711" customWidth="1"/>
    <col min="5906" max="5906" width="3" style="1711" customWidth="1"/>
    <col min="5907" max="5907" width="3.92578125" style="1711" customWidth="1"/>
    <col min="5908" max="5908" width="4.42578125" style="1711" customWidth="1"/>
    <col min="5909" max="5909" width="3.42578125" style="1711" customWidth="1"/>
    <col min="5910" max="5910" width="4.92578125" style="1711" customWidth="1"/>
    <col min="5911" max="5911" width="10.5703125" style="1711" customWidth="1"/>
    <col min="5912" max="5912" width="7.0703125" style="1711" customWidth="1"/>
    <col min="5913" max="5913" width="8.0703125" style="1711" customWidth="1"/>
    <col min="5914" max="5916" width="7.5703125" style="1711" customWidth="1"/>
    <col min="5917" max="5917" width="7.0703125" style="1711" customWidth="1"/>
    <col min="5918" max="6143" width="9.140625" style="1711"/>
    <col min="6144" max="6144" width="4.42578125" style="1711" customWidth="1"/>
    <col min="6145" max="6145" width="20.5703125" style="1711" customWidth="1"/>
    <col min="6146" max="6146" width="12.42578125" style="1711" customWidth="1"/>
    <col min="6147" max="6147" width="12.5703125" style="1711" customWidth="1"/>
    <col min="6148" max="6148" width="3.92578125" style="1711" customWidth="1"/>
    <col min="6149" max="6149" width="4.28515625" style="1711" customWidth="1"/>
    <col min="6150" max="6150" width="4.0703125" style="1711" customWidth="1"/>
    <col min="6151" max="6151" width="4" style="1711" customWidth="1"/>
    <col min="6152" max="6152" width="16.42578125" style="1711" customWidth="1"/>
    <col min="6153" max="6153" width="5.5703125" style="1711" customWidth="1"/>
    <col min="6154" max="6154" width="8.5703125" style="1711" customWidth="1"/>
    <col min="6155" max="6155" width="5.42578125" style="1711" customWidth="1"/>
    <col min="6156" max="6156" width="4.42578125" style="1711" customWidth="1"/>
    <col min="6157" max="6157" width="4.28515625" style="1711" customWidth="1"/>
    <col min="6158" max="6158" width="3.0703125" style="1711" customWidth="1"/>
    <col min="6159" max="6159" width="4.5703125" style="1711" customWidth="1"/>
    <col min="6160" max="6160" width="4.42578125" style="1711" customWidth="1"/>
    <col min="6161" max="6161" width="4" style="1711" customWidth="1"/>
    <col min="6162" max="6162" width="3" style="1711" customWidth="1"/>
    <col min="6163" max="6163" width="3.92578125" style="1711" customWidth="1"/>
    <col min="6164" max="6164" width="4.42578125" style="1711" customWidth="1"/>
    <col min="6165" max="6165" width="3.42578125" style="1711" customWidth="1"/>
    <col min="6166" max="6166" width="4.92578125" style="1711" customWidth="1"/>
    <col min="6167" max="6167" width="10.5703125" style="1711" customWidth="1"/>
    <col min="6168" max="6168" width="7.0703125" style="1711" customWidth="1"/>
    <col min="6169" max="6169" width="8.0703125" style="1711" customWidth="1"/>
    <col min="6170" max="6172" width="7.5703125" style="1711" customWidth="1"/>
    <col min="6173" max="6173" width="7.0703125" style="1711" customWidth="1"/>
    <col min="6174" max="6399" width="9.140625" style="1711"/>
    <col min="6400" max="6400" width="4.42578125" style="1711" customWidth="1"/>
    <col min="6401" max="6401" width="20.5703125" style="1711" customWidth="1"/>
    <col min="6402" max="6402" width="12.42578125" style="1711" customWidth="1"/>
    <col min="6403" max="6403" width="12.5703125" style="1711" customWidth="1"/>
    <col min="6404" max="6404" width="3.92578125" style="1711" customWidth="1"/>
    <col min="6405" max="6405" width="4.28515625" style="1711" customWidth="1"/>
    <col min="6406" max="6406" width="4.0703125" style="1711" customWidth="1"/>
    <col min="6407" max="6407" width="4" style="1711" customWidth="1"/>
    <col min="6408" max="6408" width="16.42578125" style="1711" customWidth="1"/>
    <col min="6409" max="6409" width="5.5703125" style="1711" customWidth="1"/>
    <col min="6410" max="6410" width="8.5703125" style="1711" customWidth="1"/>
    <col min="6411" max="6411" width="5.42578125" style="1711" customWidth="1"/>
    <col min="6412" max="6412" width="4.42578125" style="1711" customWidth="1"/>
    <col min="6413" max="6413" width="4.28515625" style="1711" customWidth="1"/>
    <col min="6414" max="6414" width="3.0703125" style="1711" customWidth="1"/>
    <col min="6415" max="6415" width="4.5703125" style="1711" customWidth="1"/>
    <col min="6416" max="6416" width="4.42578125" style="1711" customWidth="1"/>
    <col min="6417" max="6417" width="4" style="1711" customWidth="1"/>
    <col min="6418" max="6418" width="3" style="1711" customWidth="1"/>
    <col min="6419" max="6419" width="3.92578125" style="1711" customWidth="1"/>
    <col min="6420" max="6420" width="4.42578125" style="1711" customWidth="1"/>
    <col min="6421" max="6421" width="3.42578125" style="1711" customWidth="1"/>
    <col min="6422" max="6422" width="4.92578125" style="1711" customWidth="1"/>
    <col min="6423" max="6423" width="10.5703125" style="1711" customWidth="1"/>
    <col min="6424" max="6424" width="7.0703125" style="1711" customWidth="1"/>
    <col min="6425" max="6425" width="8.0703125" style="1711" customWidth="1"/>
    <col min="6426" max="6428" width="7.5703125" style="1711" customWidth="1"/>
    <col min="6429" max="6429" width="7.0703125" style="1711" customWidth="1"/>
    <col min="6430" max="6655" width="9.140625" style="1711"/>
    <col min="6656" max="6656" width="4.42578125" style="1711" customWidth="1"/>
    <col min="6657" max="6657" width="20.5703125" style="1711" customWidth="1"/>
    <col min="6658" max="6658" width="12.42578125" style="1711" customWidth="1"/>
    <col min="6659" max="6659" width="12.5703125" style="1711" customWidth="1"/>
    <col min="6660" max="6660" width="3.92578125" style="1711" customWidth="1"/>
    <col min="6661" max="6661" width="4.28515625" style="1711" customWidth="1"/>
    <col min="6662" max="6662" width="4.0703125" style="1711" customWidth="1"/>
    <col min="6663" max="6663" width="4" style="1711" customWidth="1"/>
    <col min="6664" max="6664" width="16.42578125" style="1711" customWidth="1"/>
    <col min="6665" max="6665" width="5.5703125" style="1711" customWidth="1"/>
    <col min="6666" max="6666" width="8.5703125" style="1711" customWidth="1"/>
    <col min="6667" max="6667" width="5.42578125" style="1711" customWidth="1"/>
    <col min="6668" max="6668" width="4.42578125" style="1711" customWidth="1"/>
    <col min="6669" max="6669" width="4.28515625" style="1711" customWidth="1"/>
    <col min="6670" max="6670" width="3.0703125" style="1711" customWidth="1"/>
    <col min="6671" max="6671" width="4.5703125" style="1711" customWidth="1"/>
    <col min="6672" max="6672" width="4.42578125" style="1711" customWidth="1"/>
    <col min="6673" max="6673" width="4" style="1711" customWidth="1"/>
    <col min="6674" max="6674" width="3" style="1711" customWidth="1"/>
    <col min="6675" max="6675" width="3.92578125" style="1711" customWidth="1"/>
    <col min="6676" max="6676" width="4.42578125" style="1711" customWidth="1"/>
    <col min="6677" max="6677" width="3.42578125" style="1711" customWidth="1"/>
    <col min="6678" max="6678" width="4.92578125" style="1711" customWidth="1"/>
    <col min="6679" max="6679" width="10.5703125" style="1711" customWidth="1"/>
    <col min="6680" max="6680" width="7.0703125" style="1711" customWidth="1"/>
    <col min="6681" max="6681" width="8.0703125" style="1711" customWidth="1"/>
    <col min="6682" max="6684" width="7.5703125" style="1711" customWidth="1"/>
    <col min="6685" max="6685" width="7.0703125" style="1711" customWidth="1"/>
    <col min="6686" max="6911" width="9.140625" style="1711"/>
    <col min="6912" max="6912" width="4.42578125" style="1711" customWidth="1"/>
    <col min="6913" max="6913" width="20.5703125" style="1711" customWidth="1"/>
    <col min="6914" max="6914" width="12.42578125" style="1711" customWidth="1"/>
    <col min="6915" max="6915" width="12.5703125" style="1711" customWidth="1"/>
    <col min="6916" max="6916" width="3.92578125" style="1711" customWidth="1"/>
    <col min="6917" max="6917" width="4.28515625" style="1711" customWidth="1"/>
    <col min="6918" max="6918" width="4.0703125" style="1711" customWidth="1"/>
    <col min="6919" max="6919" width="4" style="1711" customWidth="1"/>
    <col min="6920" max="6920" width="16.42578125" style="1711" customWidth="1"/>
    <col min="6921" max="6921" width="5.5703125" style="1711" customWidth="1"/>
    <col min="6922" max="6922" width="8.5703125" style="1711" customWidth="1"/>
    <col min="6923" max="6923" width="5.42578125" style="1711" customWidth="1"/>
    <col min="6924" max="6924" width="4.42578125" style="1711" customWidth="1"/>
    <col min="6925" max="6925" width="4.28515625" style="1711" customWidth="1"/>
    <col min="6926" max="6926" width="3.0703125" style="1711" customWidth="1"/>
    <col min="6927" max="6927" width="4.5703125" style="1711" customWidth="1"/>
    <col min="6928" max="6928" width="4.42578125" style="1711" customWidth="1"/>
    <col min="6929" max="6929" width="4" style="1711" customWidth="1"/>
    <col min="6930" max="6930" width="3" style="1711" customWidth="1"/>
    <col min="6931" max="6931" width="3.92578125" style="1711" customWidth="1"/>
    <col min="6932" max="6932" width="4.42578125" style="1711" customWidth="1"/>
    <col min="6933" max="6933" width="3.42578125" style="1711" customWidth="1"/>
    <col min="6934" max="6934" width="4.92578125" style="1711" customWidth="1"/>
    <col min="6935" max="6935" width="10.5703125" style="1711" customWidth="1"/>
    <col min="6936" max="6936" width="7.0703125" style="1711" customWidth="1"/>
    <col min="6937" max="6937" width="8.0703125" style="1711" customWidth="1"/>
    <col min="6938" max="6940" width="7.5703125" style="1711" customWidth="1"/>
    <col min="6941" max="6941" width="7.0703125" style="1711" customWidth="1"/>
    <col min="6942" max="7167" width="9.140625" style="1711"/>
    <col min="7168" max="7168" width="4.42578125" style="1711" customWidth="1"/>
    <col min="7169" max="7169" width="20.5703125" style="1711" customWidth="1"/>
    <col min="7170" max="7170" width="12.42578125" style="1711" customWidth="1"/>
    <col min="7171" max="7171" width="12.5703125" style="1711" customWidth="1"/>
    <col min="7172" max="7172" width="3.92578125" style="1711" customWidth="1"/>
    <col min="7173" max="7173" width="4.28515625" style="1711" customWidth="1"/>
    <col min="7174" max="7174" width="4.0703125" style="1711" customWidth="1"/>
    <col min="7175" max="7175" width="4" style="1711" customWidth="1"/>
    <col min="7176" max="7176" width="16.42578125" style="1711" customWidth="1"/>
    <col min="7177" max="7177" width="5.5703125" style="1711" customWidth="1"/>
    <col min="7178" max="7178" width="8.5703125" style="1711" customWidth="1"/>
    <col min="7179" max="7179" width="5.42578125" style="1711" customWidth="1"/>
    <col min="7180" max="7180" width="4.42578125" style="1711" customWidth="1"/>
    <col min="7181" max="7181" width="4.28515625" style="1711" customWidth="1"/>
    <col min="7182" max="7182" width="3.0703125" style="1711" customWidth="1"/>
    <col min="7183" max="7183" width="4.5703125" style="1711" customWidth="1"/>
    <col min="7184" max="7184" width="4.42578125" style="1711" customWidth="1"/>
    <col min="7185" max="7185" width="4" style="1711" customWidth="1"/>
    <col min="7186" max="7186" width="3" style="1711" customWidth="1"/>
    <col min="7187" max="7187" width="3.92578125" style="1711" customWidth="1"/>
    <col min="7188" max="7188" width="4.42578125" style="1711" customWidth="1"/>
    <col min="7189" max="7189" width="3.42578125" style="1711" customWidth="1"/>
    <col min="7190" max="7190" width="4.92578125" style="1711" customWidth="1"/>
    <col min="7191" max="7191" width="10.5703125" style="1711" customWidth="1"/>
    <col min="7192" max="7192" width="7.0703125" style="1711" customWidth="1"/>
    <col min="7193" max="7193" width="8.0703125" style="1711" customWidth="1"/>
    <col min="7194" max="7196" width="7.5703125" style="1711" customWidth="1"/>
    <col min="7197" max="7197" width="7.0703125" style="1711" customWidth="1"/>
    <col min="7198" max="7423" width="9.140625" style="1711"/>
    <col min="7424" max="7424" width="4.42578125" style="1711" customWidth="1"/>
    <col min="7425" max="7425" width="20.5703125" style="1711" customWidth="1"/>
    <col min="7426" max="7426" width="12.42578125" style="1711" customWidth="1"/>
    <col min="7427" max="7427" width="12.5703125" style="1711" customWidth="1"/>
    <col min="7428" max="7428" width="3.92578125" style="1711" customWidth="1"/>
    <col min="7429" max="7429" width="4.28515625" style="1711" customWidth="1"/>
    <col min="7430" max="7430" width="4.0703125" style="1711" customWidth="1"/>
    <col min="7431" max="7431" width="4" style="1711" customWidth="1"/>
    <col min="7432" max="7432" width="16.42578125" style="1711" customWidth="1"/>
    <col min="7433" max="7433" width="5.5703125" style="1711" customWidth="1"/>
    <col min="7434" max="7434" width="8.5703125" style="1711" customWidth="1"/>
    <col min="7435" max="7435" width="5.42578125" style="1711" customWidth="1"/>
    <col min="7436" max="7436" width="4.42578125" style="1711" customWidth="1"/>
    <col min="7437" max="7437" width="4.28515625" style="1711" customWidth="1"/>
    <col min="7438" max="7438" width="3.0703125" style="1711" customWidth="1"/>
    <col min="7439" max="7439" width="4.5703125" style="1711" customWidth="1"/>
    <col min="7440" max="7440" width="4.42578125" style="1711" customWidth="1"/>
    <col min="7441" max="7441" width="4" style="1711" customWidth="1"/>
    <col min="7442" max="7442" width="3" style="1711" customWidth="1"/>
    <col min="7443" max="7443" width="3.92578125" style="1711" customWidth="1"/>
    <col min="7444" max="7444" width="4.42578125" style="1711" customWidth="1"/>
    <col min="7445" max="7445" width="3.42578125" style="1711" customWidth="1"/>
    <col min="7446" max="7446" width="4.92578125" style="1711" customWidth="1"/>
    <col min="7447" max="7447" width="10.5703125" style="1711" customWidth="1"/>
    <col min="7448" max="7448" width="7.0703125" style="1711" customWidth="1"/>
    <col min="7449" max="7449" width="8.0703125" style="1711" customWidth="1"/>
    <col min="7450" max="7452" width="7.5703125" style="1711" customWidth="1"/>
    <col min="7453" max="7453" width="7.0703125" style="1711" customWidth="1"/>
    <col min="7454" max="7679" width="9.140625" style="1711"/>
    <col min="7680" max="7680" width="4.42578125" style="1711" customWidth="1"/>
    <col min="7681" max="7681" width="20.5703125" style="1711" customWidth="1"/>
    <col min="7682" max="7682" width="12.42578125" style="1711" customWidth="1"/>
    <col min="7683" max="7683" width="12.5703125" style="1711" customWidth="1"/>
    <col min="7684" max="7684" width="3.92578125" style="1711" customWidth="1"/>
    <col min="7685" max="7685" width="4.28515625" style="1711" customWidth="1"/>
    <col min="7686" max="7686" width="4.0703125" style="1711" customWidth="1"/>
    <col min="7687" max="7687" width="4" style="1711" customWidth="1"/>
    <col min="7688" max="7688" width="16.42578125" style="1711" customWidth="1"/>
    <col min="7689" max="7689" width="5.5703125" style="1711" customWidth="1"/>
    <col min="7690" max="7690" width="8.5703125" style="1711" customWidth="1"/>
    <col min="7691" max="7691" width="5.42578125" style="1711" customWidth="1"/>
    <col min="7692" max="7692" width="4.42578125" style="1711" customWidth="1"/>
    <col min="7693" max="7693" width="4.28515625" style="1711" customWidth="1"/>
    <col min="7694" max="7694" width="3.0703125" style="1711" customWidth="1"/>
    <col min="7695" max="7695" width="4.5703125" style="1711" customWidth="1"/>
    <col min="7696" max="7696" width="4.42578125" style="1711" customWidth="1"/>
    <col min="7697" max="7697" width="4" style="1711" customWidth="1"/>
    <col min="7698" max="7698" width="3" style="1711" customWidth="1"/>
    <col min="7699" max="7699" width="3.92578125" style="1711" customWidth="1"/>
    <col min="7700" max="7700" width="4.42578125" style="1711" customWidth="1"/>
    <col min="7701" max="7701" width="3.42578125" style="1711" customWidth="1"/>
    <col min="7702" max="7702" width="4.92578125" style="1711" customWidth="1"/>
    <col min="7703" max="7703" width="10.5703125" style="1711" customWidth="1"/>
    <col min="7704" max="7704" width="7.0703125" style="1711" customWidth="1"/>
    <col min="7705" max="7705" width="8.0703125" style="1711" customWidth="1"/>
    <col min="7706" max="7708" width="7.5703125" style="1711" customWidth="1"/>
    <col min="7709" max="7709" width="7.0703125" style="1711" customWidth="1"/>
    <col min="7710" max="7935" width="9.140625" style="1711"/>
    <col min="7936" max="7936" width="4.42578125" style="1711" customWidth="1"/>
    <col min="7937" max="7937" width="20.5703125" style="1711" customWidth="1"/>
    <col min="7938" max="7938" width="12.42578125" style="1711" customWidth="1"/>
    <col min="7939" max="7939" width="12.5703125" style="1711" customWidth="1"/>
    <col min="7940" max="7940" width="3.92578125" style="1711" customWidth="1"/>
    <col min="7941" max="7941" width="4.28515625" style="1711" customWidth="1"/>
    <col min="7942" max="7942" width="4.0703125" style="1711" customWidth="1"/>
    <col min="7943" max="7943" width="4" style="1711" customWidth="1"/>
    <col min="7944" max="7944" width="16.42578125" style="1711" customWidth="1"/>
    <col min="7945" max="7945" width="5.5703125" style="1711" customWidth="1"/>
    <col min="7946" max="7946" width="8.5703125" style="1711" customWidth="1"/>
    <col min="7947" max="7947" width="5.42578125" style="1711" customWidth="1"/>
    <col min="7948" max="7948" width="4.42578125" style="1711" customWidth="1"/>
    <col min="7949" max="7949" width="4.28515625" style="1711" customWidth="1"/>
    <col min="7950" max="7950" width="3.0703125" style="1711" customWidth="1"/>
    <col min="7951" max="7951" width="4.5703125" style="1711" customWidth="1"/>
    <col min="7952" max="7952" width="4.42578125" style="1711" customWidth="1"/>
    <col min="7953" max="7953" width="4" style="1711" customWidth="1"/>
    <col min="7954" max="7954" width="3" style="1711" customWidth="1"/>
    <col min="7955" max="7955" width="3.92578125" style="1711" customWidth="1"/>
    <col min="7956" max="7956" width="4.42578125" style="1711" customWidth="1"/>
    <col min="7957" max="7957" width="3.42578125" style="1711" customWidth="1"/>
    <col min="7958" max="7958" width="4.92578125" style="1711" customWidth="1"/>
    <col min="7959" max="7959" width="10.5703125" style="1711" customWidth="1"/>
    <col min="7960" max="7960" width="7.0703125" style="1711" customWidth="1"/>
    <col min="7961" max="7961" width="8.0703125" style="1711" customWidth="1"/>
    <col min="7962" max="7964" width="7.5703125" style="1711" customWidth="1"/>
    <col min="7965" max="7965" width="7.0703125" style="1711" customWidth="1"/>
    <col min="7966" max="8191" width="9.140625" style="1711"/>
    <col min="8192" max="8192" width="4.42578125" style="1711" customWidth="1"/>
    <col min="8193" max="8193" width="20.5703125" style="1711" customWidth="1"/>
    <col min="8194" max="8194" width="12.42578125" style="1711" customWidth="1"/>
    <col min="8195" max="8195" width="12.5703125" style="1711" customWidth="1"/>
    <col min="8196" max="8196" width="3.92578125" style="1711" customWidth="1"/>
    <col min="8197" max="8197" width="4.28515625" style="1711" customWidth="1"/>
    <col min="8198" max="8198" width="4.0703125" style="1711" customWidth="1"/>
    <col min="8199" max="8199" width="4" style="1711" customWidth="1"/>
    <col min="8200" max="8200" width="16.42578125" style="1711" customWidth="1"/>
    <col min="8201" max="8201" width="5.5703125" style="1711" customWidth="1"/>
    <col min="8202" max="8202" width="8.5703125" style="1711" customWidth="1"/>
    <col min="8203" max="8203" width="5.42578125" style="1711" customWidth="1"/>
    <col min="8204" max="8204" width="4.42578125" style="1711" customWidth="1"/>
    <col min="8205" max="8205" width="4.28515625" style="1711" customWidth="1"/>
    <col min="8206" max="8206" width="3.0703125" style="1711" customWidth="1"/>
    <col min="8207" max="8207" width="4.5703125" style="1711" customWidth="1"/>
    <col min="8208" max="8208" width="4.42578125" style="1711" customWidth="1"/>
    <col min="8209" max="8209" width="4" style="1711" customWidth="1"/>
    <col min="8210" max="8210" width="3" style="1711" customWidth="1"/>
    <col min="8211" max="8211" width="3.92578125" style="1711" customWidth="1"/>
    <col min="8212" max="8212" width="4.42578125" style="1711" customWidth="1"/>
    <col min="8213" max="8213" width="3.42578125" style="1711" customWidth="1"/>
    <col min="8214" max="8214" width="4.92578125" style="1711" customWidth="1"/>
    <col min="8215" max="8215" width="10.5703125" style="1711" customWidth="1"/>
    <col min="8216" max="8216" width="7.0703125" style="1711" customWidth="1"/>
    <col min="8217" max="8217" width="8.0703125" style="1711" customWidth="1"/>
    <col min="8218" max="8220" width="7.5703125" style="1711" customWidth="1"/>
    <col min="8221" max="8221" width="7.0703125" style="1711" customWidth="1"/>
    <col min="8222" max="8447" width="9.140625" style="1711"/>
    <col min="8448" max="8448" width="4.42578125" style="1711" customWidth="1"/>
    <col min="8449" max="8449" width="20.5703125" style="1711" customWidth="1"/>
    <col min="8450" max="8450" width="12.42578125" style="1711" customWidth="1"/>
    <col min="8451" max="8451" width="12.5703125" style="1711" customWidth="1"/>
    <col min="8452" max="8452" width="3.92578125" style="1711" customWidth="1"/>
    <col min="8453" max="8453" width="4.28515625" style="1711" customWidth="1"/>
    <col min="8454" max="8454" width="4.0703125" style="1711" customWidth="1"/>
    <col min="8455" max="8455" width="4" style="1711" customWidth="1"/>
    <col min="8456" max="8456" width="16.42578125" style="1711" customWidth="1"/>
    <col min="8457" max="8457" width="5.5703125" style="1711" customWidth="1"/>
    <col min="8458" max="8458" width="8.5703125" style="1711" customWidth="1"/>
    <col min="8459" max="8459" width="5.42578125" style="1711" customWidth="1"/>
    <col min="8460" max="8460" width="4.42578125" style="1711" customWidth="1"/>
    <col min="8461" max="8461" width="4.28515625" style="1711" customWidth="1"/>
    <col min="8462" max="8462" width="3.0703125" style="1711" customWidth="1"/>
    <col min="8463" max="8463" width="4.5703125" style="1711" customWidth="1"/>
    <col min="8464" max="8464" width="4.42578125" style="1711" customWidth="1"/>
    <col min="8465" max="8465" width="4" style="1711" customWidth="1"/>
    <col min="8466" max="8466" width="3" style="1711" customWidth="1"/>
    <col min="8467" max="8467" width="3.92578125" style="1711" customWidth="1"/>
    <col min="8468" max="8468" width="4.42578125" style="1711" customWidth="1"/>
    <col min="8469" max="8469" width="3.42578125" style="1711" customWidth="1"/>
    <col min="8470" max="8470" width="4.92578125" style="1711" customWidth="1"/>
    <col min="8471" max="8471" width="10.5703125" style="1711" customWidth="1"/>
    <col min="8472" max="8472" width="7.0703125" style="1711" customWidth="1"/>
    <col min="8473" max="8473" width="8.0703125" style="1711" customWidth="1"/>
    <col min="8474" max="8476" width="7.5703125" style="1711" customWidth="1"/>
    <col min="8477" max="8477" width="7.0703125" style="1711" customWidth="1"/>
    <col min="8478" max="8703" width="9.140625" style="1711"/>
    <col min="8704" max="8704" width="4.42578125" style="1711" customWidth="1"/>
    <col min="8705" max="8705" width="20.5703125" style="1711" customWidth="1"/>
    <col min="8706" max="8706" width="12.42578125" style="1711" customWidth="1"/>
    <col min="8707" max="8707" width="12.5703125" style="1711" customWidth="1"/>
    <col min="8708" max="8708" width="3.92578125" style="1711" customWidth="1"/>
    <col min="8709" max="8709" width="4.28515625" style="1711" customWidth="1"/>
    <col min="8710" max="8710" width="4.0703125" style="1711" customWidth="1"/>
    <col min="8711" max="8711" width="4" style="1711" customWidth="1"/>
    <col min="8712" max="8712" width="16.42578125" style="1711" customWidth="1"/>
    <col min="8713" max="8713" width="5.5703125" style="1711" customWidth="1"/>
    <col min="8714" max="8714" width="8.5703125" style="1711" customWidth="1"/>
    <col min="8715" max="8715" width="5.42578125" style="1711" customWidth="1"/>
    <col min="8716" max="8716" width="4.42578125" style="1711" customWidth="1"/>
    <col min="8717" max="8717" width="4.28515625" style="1711" customWidth="1"/>
    <col min="8718" max="8718" width="3.0703125" style="1711" customWidth="1"/>
    <col min="8719" max="8719" width="4.5703125" style="1711" customWidth="1"/>
    <col min="8720" max="8720" width="4.42578125" style="1711" customWidth="1"/>
    <col min="8721" max="8721" width="4" style="1711" customWidth="1"/>
    <col min="8722" max="8722" width="3" style="1711" customWidth="1"/>
    <col min="8723" max="8723" width="3.92578125" style="1711" customWidth="1"/>
    <col min="8724" max="8724" width="4.42578125" style="1711" customWidth="1"/>
    <col min="8725" max="8725" width="3.42578125" style="1711" customWidth="1"/>
    <col min="8726" max="8726" width="4.92578125" style="1711" customWidth="1"/>
    <col min="8727" max="8727" width="10.5703125" style="1711" customWidth="1"/>
    <col min="8728" max="8728" width="7.0703125" style="1711" customWidth="1"/>
    <col min="8729" max="8729" width="8.0703125" style="1711" customWidth="1"/>
    <col min="8730" max="8732" width="7.5703125" style="1711" customWidth="1"/>
    <col min="8733" max="8733" width="7.0703125" style="1711" customWidth="1"/>
    <col min="8734" max="8959" width="9.140625" style="1711"/>
    <col min="8960" max="8960" width="4.42578125" style="1711" customWidth="1"/>
    <col min="8961" max="8961" width="20.5703125" style="1711" customWidth="1"/>
    <col min="8962" max="8962" width="12.42578125" style="1711" customWidth="1"/>
    <col min="8963" max="8963" width="12.5703125" style="1711" customWidth="1"/>
    <col min="8964" max="8964" width="3.92578125" style="1711" customWidth="1"/>
    <col min="8965" max="8965" width="4.28515625" style="1711" customWidth="1"/>
    <col min="8966" max="8966" width="4.0703125" style="1711" customWidth="1"/>
    <col min="8967" max="8967" width="4" style="1711" customWidth="1"/>
    <col min="8968" max="8968" width="16.42578125" style="1711" customWidth="1"/>
    <col min="8969" max="8969" width="5.5703125" style="1711" customWidth="1"/>
    <col min="8970" max="8970" width="8.5703125" style="1711" customWidth="1"/>
    <col min="8971" max="8971" width="5.42578125" style="1711" customWidth="1"/>
    <col min="8972" max="8972" width="4.42578125" style="1711" customWidth="1"/>
    <col min="8973" max="8973" width="4.28515625" style="1711" customWidth="1"/>
    <col min="8974" max="8974" width="3.0703125" style="1711" customWidth="1"/>
    <col min="8975" max="8975" width="4.5703125" style="1711" customWidth="1"/>
    <col min="8976" max="8976" width="4.42578125" style="1711" customWidth="1"/>
    <col min="8977" max="8977" width="4" style="1711" customWidth="1"/>
    <col min="8978" max="8978" width="3" style="1711" customWidth="1"/>
    <col min="8979" max="8979" width="3.92578125" style="1711" customWidth="1"/>
    <col min="8980" max="8980" width="4.42578125" style="1711" customWidth="1"/>
    <col min="8981" max="8981" width="3.42578125" style="1711" customWidth="1"/>
    <col min="8982" max="8982" width="4.92578125" style="1711" customWidth="1"/>
    <col min="8983" max="8983" width="10.5703125" style="1711" customWidth="1"/>
    <col min="8984" max="8984" width="7.0703125" style="1711" customWidth="1"/>
    <col min="8985" max="8985" width="8.0703125" style="1711" customWidth="1"/>
    <col min="8986" max="8988" width="7.5703125" style="1711" customWidth="1"/>
    <col min="8989" max="8989" width="7.0703125" style="1711" customWidth="1"/>
    <col min="8990" max="9215" width="9.140625" style="1711"/>
    <col min="9216" max="9216" width="4.42578125" style="1711" customWidth="1"/>
    <col min="9217" max="9217" width="20.5703125" style="1711" customWidth="1"/>
    <col min="9218" max="9218" width="12.42578125" style="1711" customWidth="1"/>
    <col min="9219" max="9219" width="12.5703125" style="1711" customWidth="1"/>
    <col min="9220" max="9220" width="3.92578125" style="1711" customWidth="1"/>
    <col min="9221" max="9221" width="4.28515625" style="1711" customWidth="1"/>
    <col min="9222" max="9222" width="4.0703125" style="1711" customWidth="1"/>
    <col min="9223" max="9223" width="4" style="1711" customWidth="1"/>
    <col min="9224" max="9224" width="16.42578125" style="1711" customWidth="1"/>
    <col min="9225" max="9225" width="5.5703125" style="1711" customWidth="1"/>
    <col min="9226" max="9226" width="8.5703125" style="1711" customWidth="1"/>
    <col min="9227" max="9227" width="5.42578125" style="1711" customWidth="1"/>
    <col min="9228" max="9228" width="4.42578125" style="1711" customWidth="1"/>
    <col min="9229" max="9229" width="4.28515625" style="1711" customWidth="1"/>
    <col min="9230" max="9230" width="3.0703125" style="1711" customWidth="1"/>
    <col min="9231" max="9231" width="4.5703125" style="1711" customWidth="1"/>
    <col min="9232" max="9232" width="4.42578125" style="1711" customWidth="1"/>
    <col min="9233" max="9233" width="4" style="1711" customWidth="1"/>
    <col min="9234" max="9234" width="3" style="1711" customWidth="1"/>
    <col min="9235" max="9235" width="3.92578125" style="1711" customWidth="1"/>
    <col min="9236" max="9236" width="4.42578125" style="1711" customWidth="1"/>
    <col min="9237" max="9237" width="3.42578125" style="1711" customWidth="1"/>
    <col min="9238" max="9238" width="4.92578125" style="1711" customWidth="1"/>
    <col min="9239" max="9239" width="10.5703125" style="1711" customWidth="1"/>
    <col min="9240" max="9240" width="7.0703125" style="1711" customWidth="1"/>
    <col min="9241" max="9241" width="8.0703125" style="1711" customWidth="1"/>
    <col min="9242" max="9244" width="7.5703125" style="1711" customWidth="1"/>
    <col min="9245" max="9245" width="7.0703125" style="1711" customWidth="1"/>
    <col min="9246" max="9471" width="9.140625" style="1711"/>
    <col min="9472" max="9472" width="4.42578125" style="1711" customWidth="1"/>
    <col min="9473" max="9473" width="20.5703125" style="1711" customWidth="1"/>
    <col min="9474" max="9474" width="12.42578125" style="1711" customWidth="1"/>
    <col min="9475" max="9475" width="12.5703125" style="1711" customWidth="1"/>
    <col min="9476" max="9476" width="3.92578125" style="1711" customWidth="1"/>
    <col min="9477" max="9477" width="4.28515625" style="1711" customWidth="1"/>
    <col min="9478" max="9478" width="4.0703125" style="1711" customWidth="1"/>
    <col min="9479" max="9479" width="4" style="1711" customWidth="1"/>
    <col min="9480" max="9480" width="16.42578125" style="1711" customWidth="1"/>
    <col min="9481" max="9481" width="5.5703125" style="1711" customWidth="1"/>
    <col min="9482" max="9482" width="8.5703125" style="1711" customWidth="1"/>
    <col min="9483" max="9483" width="5.42578125" style="1711" customWidth="1"/>
    <col min="9484" max="9484" width="4.42578125" style="1711" customWidth="1"/>
    <col min="9485" max="9485" width="4.28515625" style="1711" customWidth="1"/>
    <col min="9486" max="9486" width="3.0703125" style="1711" customWidth="1"/>
    <col min="9487" max="9487" width="4.5703125" style="1711" customWidth="1"/>
    <col min="9488" max="9488" width="4.42578125" style="1711" customWidth="1"/>
    <col min="9489" max="9489" width="4" style="1711" customWidth="1"/>
    <col min="9490" max="9490" width="3" style="1711" customWidth="1"/>
    <col min="9491" max="9491" width="3.92578125" style="1711" customWidth="1"/>
    <col min="9492" max="9492" width="4.42578125" style="1711" customWidth="1"/>
    <col min="9493" max="9493" width="3.42578125" style="1711" customWidth="1"/>
    <col min="9494" max="9494" width="4.92578125" style="1711" customWidth="1"/>
    <col min="9495" max="9495" width="10.5703125" style="1711" customWidth="1"/>
    <col min="9496" max="9496" width="7.0703125" style="1711" customWidth="1"/>
    <col min="9497" max="9497" width="8.0703125" style="1711" customWidth="1"/>
    <col min="9498" max="9500" width="7.5703125" style="1711" customWidth="1"/>
    <col min="9501" max="9501" width="7.0703125" style="1711" customWidth="1"/>
    <col min="9502" max="9727" width="9.140625" style="1711"/>
    <col min="9728" max="9728" width="4.42578125" style="1711" customWidth="1"/>
    <col min="9729" max="9729" width="20.5703125" style="1711" customWidth="1"/>
    <col min="9730" max="9730" width="12.42578125" style="1711" customWidth="1"/>
    <col min="9731" max="9731" width="12.5703125" style="1711" customWidth="1"/>
    <col min="9732" max="9732" width="3.92578125" style="1711" customWidth="1"/>
    <col min="9733" max="9733" width="4.28515625" style="1711" customWidth="1"/>
    <col min="9734" max="9734" width="4.0703125" style="1711" customWidth="1"/>
    <col min="9735" max="9735" width="4" style="1711" customWidth="1"/>
    <col min="9736" max="9736" width="16.42578125" style="1711" customWidth="1"/>
    <col min="9737" max="9737" width="5.5703125" style="1711" customWidth="1"/>
    <col min="9738" max="9738" width="8.5703125" style="1711" customWidth="1"/>
    <col min="9739" max="9739" width="5.42578125" style="1711" customWidth="1"/>
    <col min="9740" max="9740" width="4.42578125" style="1711" customWidth="1"/>
    <col min="9741" max="9741" width="4.28515625" style="1711" customWidth="1"/>
    <col min="9742" max="9742" width="3.0703125" style="1711" customWidth="1"/>
    <col min="9743" max="9743" width="4.5703125" style="1711" customWidth="1"/>
    <col min="9744" max="9744" width="4.42578125" style="1711" customWidth="1"/>
    <col min="9745" max="9745" width="4" style="1711" customWidth="1"/>
    <col min="9746" max="9746" width="3" style="1711" customWidth="1"/>
    <col min="9747" max="9747" width="3.92578125" style="1711" customWidth="1"/>
    <col min="9748" max="9748" width="4.42578125" style="1711" customWidth="1"/>
    <col min="9749" max="9749" width="3.42578125" style="1711" customWidth="1"/>
    <col min="9750" max="9750" width="4.92578125" style="1711" customWidth="1"/>
    <col min="9751" max="9751" width="10.5703125" style="1711" customWidth="1"/>
    <col min="9752" max="9752" width="7.0703125" style="1711" customWidth="1"/>
    <col min="9753" max="9753" width="8.0703125" style="1711" customWidth="1"/>
    <col min="9754" max="9756" width="7.5703125" style="1711" customWidth="1"/>
    <col min="9757" max="9757" width="7.0703125" style="1711" customWidth="1"/>
    <col min="9758" max="9983" width="9.140625" style="1711"/>
    <col min="9984" max="9984" width="4.42578125" style="1711" customWidth="1"/>
    <col min="9985" max="9985" width="20.5703125" style="1711" customWidth="1"/>
    <col min="9986" max="9986" width="12.42578125" style="1711" customWidth="1"/>
    <col min="9987" max="9987" width="12.5703125" style="1711" customWidth="1"/>
    <col min="9988" max="9988" width="3.92578125" style="1711" customWidth="1"/>
    <col min="9989" max="9989" width="4.28515625" style="1711" customWidth="1"/>
    <col min="9990" max="9990" width="4.0703125" style="1711" customWidth="1"/>
    <col min="9991" max="9991" width="4" style="1711" customWidth="1"/>
    <col min="9992" max="9992" width="16.42578125" style="1711" customWidth="1"/>
    <col min="9993" max="9993" width="5.5703125" style="1711" customWidth="1"/>
    <col min="9994" max="9994" width="8.5703125" style="1711" customWidth="1"/>
    <col min="9995" max="9995" width="5.42578125" style="1711" customWidth="1"/>
    <col min="9996" max="9996" width="4.42578125" style="1711" customWidth="1"/>
    <col min="9997" max="9997" width="4.28515625" style="1711" customWidth="1"/>
    <col min="9998" max="9998" width="3.0703125" style="1711" customWidth="1"/>
    <col min="9999" max="9999" width="4.5703125" style="1711" customWidth="1"/>
    <col min="10000" max="10000" width="4.42578125" style="1711" customWidth="1"/>
    <col min="10001" max="10001" width="4" style="1711" customWidth="1"/>
    <col min="10002" max="10002" width="3" style="1711" customWidth="1"/>
    <col min="10003" max="10003" width="3.92578125" style="1711" customWidth="1"/>
    <col min="10004" max="10004" width="4.42578125" style="1711" customWidth="1"/>
    <col min="10005" max="10005" width="3.42578125" style="1711" customWidth="1"/>
    <col min="10006" max="10006" width="4.92578125" style="1711" customWidth="1"/>
    <col min="10007" max="10007" width="10.5703125" style="1711" customWidth="1"/>
    <col min="10008" max="10008" width="7.0703125" style="1711" customWidth="1"/>
    <col min="10009" max="10009" width="8.0703125" style="1711" customWidth="1"/>
    <col min="10010" max="10012" width="7.5703125" style="1711" customWidth="1"/>
    <col min="10013" max="10013" width="7.0703125" style="1711" customWidth="1"/>
    <col min="10014" max="10239" width="9.140625" style="1711"/>
    <col min="10240" max="10240" width="4.42578125" style="1711" customWidth="1"/>
    <col min="10241" max="10241" width="20.5703125" style="1711" customWidth="1"/>
    <col min="10242" max="10242" width="12.42578125" style="1711" customWidth="1"/>
    <col min="10243" max="10243" width="12.5703125" style="1711" customWidth="1"/>
    <col min="10244" max="10244" width="3.92578125" style="1711" customWidth="1"/>
    <col min="10245" max="10245" width="4.28515625" style="1711" customWidth="1"/>
    <col min="10246" max="10246" width="4.0703125" style="1711" customWidth="1"/>
    <col min="10247" max="10247" width="4" style="1711" customWidth="1"/>
    <col min="10248" max="10248" width="16.42578125" style="1711" customWidth="1"/>
    <col min="10249" max="10249" width="5.5703125" style="1711" customWidth="1"/>
    <col min="10250" max="10250" width="8.5703125" style="1711" customWidth="1"/>
    <col min="10251" max="10251" width="5.42578125" style="1711" customWidth="1"/>
    <col min="10252" max="10252" width="4.42578125" style="1711" customWidth="1"/>
    <col min="10253" max="10253" width="4.28515625" style="1711" customWidth="1"/>
    <col min="10254" max="10254" width="3.0703125" style="1711" customWidth="1"/>
    <col min="10255" max="10255" width="4.5703125" style="1711" customWidth="1"/>
    <col min="10256" max="10256" width="4.42578125" style="1711" customWidth="1"/>
    <col min="10257" max="10257" width="4" style="1711" customWidth="1"/>
    <col min="10258" max="10258" width="3" style="1711" customWidth="1"/>
    <col min="10259" max="10259" width="3.92578125" style="1711" customWidth="1"/>
    <col min="10260" max="10260" width="4.42578125" style="1711" customWidth="1"/>
    <col min="10261" max="10261" width="3.42578125" style="1711" customWidth="1"/>
    <col min="10262" max="10262" width="4.92578125" style="1711" customWidth="1"/>
    <col min="10263" max="10263" width="10.5703125" style="1711" customWidth="1"/>
    <col min="10264" max="10264" width="7.0703125" style="1711" customWidth="1"/>
    <col min="10265" max="10265" width="8.0703125" style="1711" customWidth="1"/>
    <col min="10266" max="10268" width="7.5703125" style="1711" customWidth="1"/>
    <col min="10269" max="10269" width="7.0703125" style="1711" customWidth="1"/>
    <col min="10270" max="10495" width="9.140625" style="1711"/>
    <col min="10496" max="10496" width="4.42578125" style="1711" customWidth="1"/>
    <col min="10497" max="10497" width="20.5703125" style="1711" customWidth="1"/>
    <col min="10498" max="10498" width="12.42578125" style="1711" customWidth="1"/>
    <col min="10499" max="10499" width="12.5703125" style="1711" customWidth="1"/>
    <col min="10500" max="10500" width="3.92578125" style="1711" customWidth="1"/>
    <col min="10501" max="10501" width="4.28515625" style="1711" customWidth="1"/>
    <col min="10502" max="10502" width="4.0703125" style="1711" customWidth="1"/>
    <col min="10503" max="10503" width="4" style="1711" customWidth="1"/>
    <col min="10504" max="10504" width="16.42578125" style="1711" customWidth="1"/>
    <col min="10505" max="10505" width="5.5703125" style="1711" customWidth="1"/>
    <col min="10506" max="10506" width="8.5703125" style="1711" customWidth="1"/>
    <col min="10507" max="10507" width="5.42578125" style="1711" customWidth="1"/>
    <col min="10508" max="10508" width="4.42578125" style="1711" customWidth="1"/>
    <col min="10509" max="10509" width="4.28515625" style="1711" customWidth="1"/>
    <col min="10510" max="10510" width="3.0703125" style="1711" customWidth="1"/>
    <col min="10511" max="10511" width="4.5703125" style="1711" customWidth="1"/>
    <col min="10512" max="10512" width="4.42578125" style="1711" customWidth="1"/>
    <col min="10513" max="10513" width="4" style="1711" customWidth="1"/>
    <col min="10514" max="10514" width="3" style="1711" customWidth="1"/>
    <col min="10515" max="10515" width="3.92578125" style="1711" customWidth="1"/>
    <col min="10516" max="10516" width="4.42578125" style="1711" customWidth="1"/>
    <col min="10517" max="10517" width="3.42578125" style="1711" customWidth="1"/>
    <col min="10518" max="10518" width="4.92578125" style="1711" customWidth="1"/>
    <col min="10519" max="10519" width="10.5703125" style="1711" customWidth="1"/>
    <col min="10520" max="10520" width="7.0703125" style="1711" customWidth="1"/>
    <col min="10521" max="10521" width="8.0703125" style="1711" customWidth="1"/>
    <col min="10522" max="10524" width="7.5703125" style="1711" customWidth="1"/>
    <col min="10525" max="10525" width="7.0703125" style="1711" customWidth="1"/>
    <col min="10526" max="10751" width="9.140625" style="1711"/>
    <col min="10752" max="10752" width="4.42578125" style="1711" customWidth="1"/>
    <col min="10753" max="10753" width="20.5703125" style="1711" customWidth="1"/>
    <col min="10754" max="10754" width="12.42578125" style="1711" customWidth="1"/>
    <col min="10755" max="10755" width="12.5703125" style="1711" customWidth="1"/>
    <col min="10756" max="10756" width="3.92578125" style="1711" customWidth="1"/>
    <col min="10757" max="10757" width="4.28515625" style="1711" customWidth="1"/>
    <col min="10758" max="10758" width="4.0703125" style="1711" customWidth="1"/>
    <col min="10759" max="10759" width="4" style="1711" customWidth="1"/>
    <col min="10760" max="10760" width="16.42578125" style="1711" customWidth="1"/>
    <col min="10761" max="10761" width="5.5703125" style="1711" customWidth="1"/>
    <col min="10762" max="10762" width="8.5703125" style="1711" customWidth="1"/>
    <col min="10763" max="10763" width="5.42578125" style="1711" customWidth="1"/>
    <col min="10764" max="10764" width="4.42578125" style="1711" customWidth="1"/>
    <col min="10765" max="10765" width="4.28515625" style="1711" customWidth="1"/>
    <col min="10766" max="10766" width="3.0703125" style="1711" customWidth="1"/>
    <col min="10767" max="10767" width="4.5703125" style="1711" customWidth="1"/>
    <col min="10768" max="10768" width="4.42578125" style="1711" customWidth="1"/>
    <col min="10769" max="10769" width="4" style="1711" customWidth="1"/>
    <col min="10770" max="10770" width="3" style="1711" customWidth="1"/>
    <col min="10771" max="10771" width="3.92578125" style="1711" customWidth="1"/>
    <col min="10772" max="10772" width="4.42578125" style="1711" customWidth="1"/>
    <col min="10773" max="10773" width="3.42578125" style="1711" customWidth="1"/>
    <col min="10774" max="10774" width="4.92578125" style="1711" customWidth="1"/>
    <col min="10775" max="10775" width="10.5703125" style="1711" customWidth="1"/>
    <col min="10776" max="10776" width="7.0703125" style="1711" customWidth="1"/>
    <col min="10777" max="10777" width="8.0703125" style="1711" customWidth="1"/>
    <col min="10778" max="10780" width="7.5703125" style="1711" customWidth="1"/>
    <col min="10781" max="10781" width="7.0703125" style="1711" customWidth="1"/>
    <col min="10782" max="11007" width="9.140625" style="1711"/>
    <col min="11008" max="11008" width="4.42578125" style="1711" customWidth="1"/>
    <col min="11009" max="11009" width="20.5703125" style="1711" customWidth="1"/>
    <col min="11010" max="11010" width="12.42578125" style="1711" customWidth="1"/>
    <col min="11011" max="11011" width="12.5703125" style="1711" customWidth="1"/>
    <col min="11012" max="11012" width="3.92578125" style="1711" customWidth="1"/>
    <col min="11013" max="11013" width="4.28515625" style="1711" customWidth="1"/>
    <col min="11014" max="11014" width="4.0703125" style="1711" customWidth="1"/>
    <col min="11015" max="11015" width="4" style="1711" customWidth="1"/>
    <col min="11016" max="11016" width="16.42578125" style="1711" customWidth="1"/>
    <col min="11017" max="11017" width="5.5703125" style="1711" customWidth="1"/>
    <col min="11018" max="11018" width="8.5703125" style="1711" customWidth="1"/>
    <col min="11019" max="11019" width="5.42578125" style="1711" customWidth="1"/>
    <col min="11020" max="11020" width="4.42578125" style="1711" customWidth="1"/>
    <col min="11021" max="11021" width="4.28515625" style="1711" customWidth="1"/>
    <col min="11022" max="11022" width="3.0703125" style="1711" customWidth="1"/>
    <col min="11023" max="11023" width="4.5703125" style="1711" customWidth="1"/>
    <col min="11024" max="11024" width="4.42578125" style="1711" customWidth="1"/>
    <col min="11025" max="11025" width="4" style="1711" customWidth="1"/>
    <col min="11026" max="11026" width="3" style="1711" customWidth="1"/>
    <col min="11027" max="11027" width="3.92578125" style="1711" customWidth="1"/>
    <col min="11028" max="11028" width="4.42578125" style="1711" customWidth="1"/>
    <col min="11029" max="11029" width="3.42578125" style="1711" customWidth="1"/>
    <col min="11030" max="11030" width="4.92578125" style="1711" customWidth="1"/>
    <col min="11031" max="11031" width="10.5703125" style="1711" customWidth="1"/>
    <col min="11032" max="11032" width="7.0703125" style="1711" customWidth="1"/>
    <col min="11033" max="11033" width="8.0703125" style="1711" customWidth="1"/>
    <col min="11034" max="11036" width="7.5703125" style="1711" customWidth="1"/>
    <col min="11037" max="11037" width="7.0703125" style="1711" customWidth="1"/>
    <col min="11038" max="11263" width="9.140625" style="1711"/>
    <col min="11264" max="11264" width="4.42578125" style="1711" customWidth="1"/>
    <col min="11265" max="11265" width="20.5703125" style="1711" customWidth="1"/>
    <col min="11266" max="11266" width="12.42578125" style="1711" customWidth="1"/>
    <col min="11267" max="11267" width="12.5703125" style="1711" customWidth="1"/>
    <col min="11268" max="11268" width="3.92578125" style="1711" customWidth="1"/>
    <col min="11269" max="11269" width="4.28515625" style="1711" customWidth="1"/>
    <col min="11270" max="11270" width="4.0703125" style="1711" customWidth="1"/>
    <col min="11271" max="11271" width="4" style="1711" customWidth="1"/>
    <col min="11272" max="11272" width="16.42578125" style="1711" customWidth="1"/>
    <col min="11273" max="11273" width="5.5703125" style="1711" customWidth="1"/>
    <col min="11274" max="11274" width="8.5703125" style="1711" customWidth="1"/>
    <col min="11275" max="11275" width="5.42578125" style="1711" customWidth="1"/>
    <col min="11276" max="11276" width="4.42578125" style="1711" customWidth="1"/>
    <col min="11277" max="11277" width="4.28515625" style="1711" customWidth="1"/>
    <col min="11278" max="11278" width="3.0703125" style="1711" customWidth="1"/>
    <col min="11279" max="11279" width="4.5703125" style="1711" customWidth="1"/>
    <col min="11280" max="11280" width="4.42578125" style="1711" customWidth="1"/>
    <col min="11281" max="11281" width="4" style="1711" customWidth="1"/>
    <col min="11282" max="11282" width="3" style="1711" customWidth="1"/>
    <col min="11283" max="11283" width="3.92578125" style="1711" customWidth="1"/>
    <col min="11284" max="11284" width="4.42578125" style="1711" customWidth="1"/>
    <col min="11285" max="11285" width="3.42578125" style="1711" customWidth="1"/>
    <col min="11286" max="11286" width="4.92578125" style="1711" customWidth="1"/>
    <col min="11287" max="11287" width="10.5703125" style="1711" customWidth="1"/>
    <col min="11288" max="11288" width="7.0703125" style="1711" customWidth="1"/>
    <col min="11289" max="11289" width="8.0703125" style="1711" customWidth="1"/>
    <col min="11290" max="11292" width="7.5703125" style="1711" customWidth="1"/>
    <col min="11293" max="11293" width="7.0703125" style="1711" customWidth="1"/>
    <col min="11294" max="11519" width="9.140625" style="1711"/>
    <col min="11520" max="11520" width="4.42578125" style="1711" customWidth="1"/>
    <col min="11521" max="11521" width="20.5703125" style="1711" customWidth="1"/>
    <col min="11522" max="11522" width="12.42578125" style="1711" customWidth="1"/>
    <col min="11523" max="11523" width="12.5703125" style="1711" customWidth="1"/>
    <col min="11524" max="11524" width="3.92578125" style="1711" customWidth="1"/>
    <col min="11525" max="11525" width="4.28515625" style="1711" customWidth="1"/>
    <col min="11526" max="11526" width="4.0703125" style="1711" customWidth="1"/>
    <col min="11527" max="11527" width="4" style="1711" customWidth="1"/>
    <col min="11528" max="11528" width="16.42578125" style="1711" customWidth="1"/>
    <col min="11529" max="11529" width="5.5703125" style="1711" customWidth="1"/>
    <col min="11530" max="11530" width="8.5703125" style="1711" customWidth="1"/>
    <col min="11531" max="11531" width="5.42578125" style="1711" customWidth="1"/>
    <col min="11532" max="11532" width="4.42578125" style="1711" customWidth="1"/>
    <col min="11533" max="11533" width="4.28515625" style="1711" customWidth="1"/>
    <col min="11534" max="11534" width="3.0703125" style="1711" customWidth="1"/>
    <col min="11535" max="11535" width="4.5703125" style="1711" customWidth="1"/>
    <col min="11536" max="11536" width="4.42578125" style="1711" customWidth="1"/>
    <col min="11537" max="11537" width="4" style="1711" customWidth="1"/>
    <col min="11538" max="11538" width="3" style="1711" customWidth="1"/>
    <col min="11539" max="11539" width="3.92578125" style="1711" customWidth="1"/>
    <col min="11540" max="11540" width="4.42578125" style="1711" customWidth="1"/>
    <col min="11541" max="11541" width="3.42578125" style="1711" customWidth="1"/>
    <col min="11542" max="11542" width="4.92578125" style="1711" customWidth="1"/>
    <col min="11543" max="11543" width="10.5703125" style="1711" customWidth="1"/>
    <col min="11544" max="11544" width="7.0703125" style="1711" customWidth="1"/>
    <col min="11545" max="11545" width="8.0703125" style="1711" customWidth="1"/>
    <col min="11546" max="11548" width="7.5703125" style="1711" customWidth="1"/>
    <col min="11549" max="11549" width="7.0703125" style="1711" customWidth="1"/>
    <col min="11550" max="11775" width="9.140625" style="1711"/>
    <col min="11776" max="11776" width="4.42578125" style="1711" customWidth="1"/>
    <col min="11777" max="11777" width="20.5703125" style="1711" customWidth="1"/>
    <col min="11778" max="11778" width="12.42578125" style="1711" customWidth="1"/>
    <col min="11779" max="11779" width="12.5703125" style="1711" customWidth="1"/>
    <col min="11780" max="11780" width="3.92578125" style="1711" customWidth="1"/>
    <col min="11781" max="11781" width="4.28515625" style="1711" customWidth="1"/>
    <col min="11782" max="11782" width="4.0703125" style="1711" customWidth="1"/>
    <col min="11783" max="11783" width="4" style="1711" customWidth="1"/>
    <col min="11784" max="11784" width="16.42578125" style="1711" customWidth="1"/>
    <col min="11785" max="11785" width="5.5703125" style="1711" customWidth="1"/>
    <col min="11786" max="11786" width="8.5703125" style="1711" customWidth="1"/>
    <col min="11787" max="11787" width="5.42578125" style="1711" customWidth="1"/>
    <col min="11788" max="11788" width="4.42578125" style="1711" customWidth="1"/>
    <col min="11789" max="11789" width="4.28515625" style="1711" customWidth="1"/>
    <col min="11790" max="11790" width="3.0703125" style="1711" customWidth="1"/>
    <col min="11791" max="11791" width="4.5703125" style="1711" customWidth="1"/>
    <col min="11792" max="11792" width="4.42578125" style="1711" customWidth="1"/>
    <col min="11793" max="11793" width="4" style="1711" customWidth="1"/>
    <col min="11794" max="11794" width="3" style="1711" customWidth="1"/>
    <col min="11795" max="11795" width="3.92578125" style="1711" customWidth="1"/>
    <col min="11796" max="11796" width="4.42578125" style="1711" customWidth="1"/>
    <col min="11797" max="11797" width="3.42578125" style="1711" customWidth="1"/>
    <col min="11798" max="11798" width="4.92578125" style="1711" customWidth="1"/>
    <col min="11799" max="11799" width="10.5703125" style="1711" customWidth="1"/>
    <col min="11800" max="11800" width="7.0703125" style="1711" customWidth="1"/>
    <col min="11801" max="11801" width="8.0703125" style="1711" customWidth="1"/>
    <col min="11802" max="11804" width="7.5703125" style="1711" customWidth="1"/>
    <col min="11805" max="11805" width="7.0703125" style="1711" customWidth="1"/>
    <col min="11806" max="12031" width="9.140625" style="1711"/>
    <col min="12032" max="12032" width="4.42578125" style="1711" customWidth="1"/>
    <col min="12033" max="12033" width="20.5703125" style="1711" customWidth="1"/>
    <col min="12034" max="12034" width="12.42578125" style="1711" customWidth="1"/>
    <col min="12035" max="12035" width="12.5703125" style="1711" customWidth="1"/>
    <col min="12036" max="12036" width="3.92578125" style="1711" customWidth="1"/>
    <col min="12037" max="12037" width="4.28515625" style="1711" customWidth="1"/>
    <col min="12038" max="12038" width="4.0703125" style="1711" customWidth="1"/>
    <col min="12039" max="12039" width="4" style="1711" customWidth="1"/>
    <col min="12040" max="12040" width="16.42578125" style="1711" customWidth="1"/>
    <col min="12041" max="12041" width="5.5703125" style="1711" customWidth="1"/>
    <col min="12042" max="12042" width="8.5703125" style="1711" customWidth="1"/>
    <col min="12043" max="12043" width="5.42578125" style="1711" customWidth="1"/>
    <col min="12044" max="12044" width="4.42578125" style="1711" customWidth="1"/>
    <col min="12045" max="12045" width="4.28515625" style="1711" customWidth="1"/>
    <col min="12046" max="12046" width="3.0703125" style="1711" customWidth="1"/>
    <col min="12047" max="12047" width="4.5703125" style="1711" customWidth="1"/>
    <col min="12048" max="12048" width="4.42578125" style="1711" customWidth="1"/>
    <col min="12049" max="12049" width="4" style="1711" customWidth="1"/>
    <col min="12050" max="12050" width="3" style="1711" customWidth="1"/>
    <col min="12051" max="12051" width="3.92578125" style="1711" customWidth="1"/>
    <col min="12052" max="12052" width="4.42578125" style="1711" customWidth="1"/>
    <col min="12053" max="12053" width="3.42578125" style="1711" customWidth="1"/>
    <col min="12054" max="12054" width="4.92578125" style="1711" customWidth="1"/>
    <col min="12055" max="12055" width="10.5703125" style="1711" customWidth="1"/>
    <col min="12056" max="12056" width="7.0703125" style="1711" customWidth="1"/>
    <col min="12057" max="12057" width="8.0703125" style="1711" customWidth="1"/>
    <col min="12058" max="12060" width="7.5703125" style="1711" customWidth="1"/>
    <col min="12061" max="12061" width="7.0703125" style="1711" customWidth="1"/>
    <col min="12062" max="12287" width="9.140625" style="1711"/>
    <col min="12288" max="12288" width="4.42578125" style="1711" customWidth="1"/>
    <col min="12289" max="12289" width="20.5703125" style="1711" customWidth="1"/>
    <col min="12290" max="12290" width="12.42578125" style="1711" customWidth="1"/>
    <col min="12291" max="12291" width="12.5703125" style="1711" customWidth="1"/>
    <col min="12292" max="12292" width="3.92578125" style="1711" customWidth="1"/>
    <col min="12293" max="12293" width="4.28515625" style="1711" customWidth="1"/>
    <col min="12294" max="12294" width="4.0703125" style="1711" customWidth="1"/>
    <col min="12295" max="12295" width="4" style="1711" customWidth="1"/>
    <col min="12296" max="12296" width="16.42578125" style="1711" customWidth="1"/>
    <col min="12297" max="12297" width="5.5703125" style="1711" customWidth="1"/>
    <col min="12298" max="12298" width="8.5703125" style="1711" customWidth="1"/>
    <col min="12299" max="12299" width="5.42578125" style="1711" customWidth="1"/>
    <col min="12300" max="12300" width="4.42578125" style="1711" customWidth="1"/>
    <col min="12301" max="12301" width="4.28515625" style="1711" customWidth="1"/>
    <col min="12302" max="12302" width="3.0703125" style="1711" customWidth="1"/>
    <col min="12303" max="12303" width="4.5703125" style="1711" customWidth="1"/>
    <col min="12304" max="12304" width="4.42578125" style="1711" customWidth="1"/>
    <col min="12305" max="12305" width="4" style="1711" customWidth="1"/>
    <col min="12306" max="12306" width="3" style="1711" customWidth="1"/>
    <col min="12307" max="12307" width="3.92578125" style="1711" customWidth="1"/>
    <col min="12308" max="12308" width="4.42578125" style="1711" customWidth="1"/>
    <col min="12309" max="12309" width="3.42578125" style="1711" customWidth="1"/>
    <col min="12310" max="12310" width="4.92578125" style="1711" customWidth="1"/>
    <col min="12311" max="12311" width="10.5703125" style="1711" customWidth="1"/>
    <col min="12312" max="12312" width="7.0703125" style="1711" customWidth="1"/>
    <col min="12313" max="12313" width="8.0703125" style="1711" customWidth="1"/>
    <col min="12314" max="12316" width="7.5703125" style="1711" customWidth="1"/>
    <col min="12317" max="12317" width="7.0703125" style="1711" customWidth="1"/>
    <col min="12318" max="12543" width="9.140625" style="1711"/>
    <col min="12544" max="12544" width="4.42578125" style="1711" customWidth="1"/>
    <col min="12545" max="12545" width="20.5703125" style="1711" customWidth="1"/>
    <col min="12546" max="12546" width="12.42578125" style="1711" customWidth="1"/>
    <col min="12547" max="12547" width="12.5703125" style="1711" customWidth="1"/>
    <col min="12548" max="12548" width="3.92578125" style="1711" customWidth="1"/>
    <col min="12549" max="12549" width="4.28515625" style="1711" customWidth="1"/>
    <col min="12550" max="12550" width="4.0703125" style="1711" customWidth="1"/>
    <col min="12551" max="12551" width="4" style="1711" customWidth="1"/>
    <col min="12552" max="12552" width="16.42578125" style="1711" customWidth="1"/>
    <col min="12553" max="12553" width="5.5703125" style="1711" customWidth="1"/>
    <col min="12554" max="12554" width="8.5703125" style="1711" customWidth="1"/>
    <col min="12555" max="12555" width="5.42578125" style="1711" customWidth="1"/>
    <col min="12556" max="12556" width="4.42578125" style="1711" customWidth="1"/>
    <col min="12557" max="12557" width="4.28515625" style="1711" customWidth="1"/>
    <col min="12558" max="12558" width="3.0703125" style="1711" customWidth="1"/>
    <col min="12559" max="12559" width="4.5703125" style="1711" customWidth="1"/>
    <col min="12560" max="12560" width="4.42578125" style="1711" customWidth="1"/>
    <col min="12561" max="12561" width="4" style="1711" customWidth="1"/>
    <col min="12562" max="12562" width="3" style="1711" customWidth="1"/>
    <col min="12563" max="12563" width="3.92578125" style="1711" customWidth="1"/>
    <col min="12564" max="12564" width="4.42578125" style="1711" customWidth="1"/>
    <col min="12565" max="12565" width="3.42578125" style="1711" customWidth="1"/>
    <col min="12566" max="12566" width="4.92578125" style="1711" customWidth="1"/>
    <col min="12567" max="12567" width="10.5703125" style="1711" customWidth="1"/>
    <col min="12568" max="12568" width="7.0703125" style="1711" customWidth="1"/>
    <col min="12569" max="12569" width="8.0703125" style="1711" customWidth="1"/>
    <col min="12570" max="12572" width="7.5703125" style="1711" customWidth="1"/>
    <col min="12573" max="12573" width="7.0703125" style="1711" customWidth="1"/>
    <col min="12574" max="12799" width="9.140625" style="1711"/>
    <col min="12800" max="12800" width="4.42578125" style="1711" customWidth="1"/>
    <col min="12801" max="12801" width="20.5703125" style="1711" customWidth="1"/>
    <col min="12802" max="12802" width="12.42578125" style="1711" customWidth="1"/>
    <col min="12803" max="12803" width="12.5703125" style="1711" customWidth="1"/>
    <col min="12804" max="12804" width="3.92578125" style="1711" customWidth="1"/>
    <col min="12805" max="12805" width="4.28515625" style="1711" customWidth="1"/>
    <col min="12806" max="12806" width="4.0703125" style="1711" customWidth="1"/>
    <col min="12807" max="12807" width="4" style="1711" customWidth="1"/>
    <col min="12808" max="12808" width="16.42578125" style="1711" customWidth="1"/>
    <col min="12809" max="12809" width="5.5703125" style="1711" customWidth="1"/>
    <col min="12810" max="12810" width="8.5703125" style="1711" customWidth="1"/>
    <col min="12811" max="12811" width="5.42578125" style="1711" customWidth="1"/>
    <col min="12812" max="12812" width="4.42578125" style="1711" customWidth="1"/>
    <col min="12813" max="12813" width="4.28515625" style="1711" customWidth="1"/>
    <col min="12814" max="12814" width="3.0703125" style="1711" customWidth="1"/>
    <col min="12815" max="12815" width="4.5703125" style="1711" customWidth="1"/>
    <col min="12816" max="12816" width="4.42578125" style="1711" customWidth="1"/>
    <col min="12817" max="12817" width="4" style="1711" customWidth="1"/>
    <col min="12818" max="12818" width="3" style="1711" customWidth="1"/>
    <col min="12819" max="12819" width="3.92578125" style="1711" customWidth="1"/>
    <col min="12820" max="12820" width="4.42578125" style="1711" customWidth="1"/>
    <col min="12821" max="12821" width="3.42578125" style="1711" customWidth="1"/>
    <col min="12822" max="12822" width="4.92578125" style="1711" customWidth="1"/>
    <col min="12823" max="12823" width="10.5703125" style="1711" customWidth="1"/>
    <col min="12824" max="12824" width="7.0703125" style="1711" customWidth="1"/>
    <col min="12825" max="12825" width="8.0703125" style="1711" customWidth="1"/>
    <col min="12826" max="12828" width="7.5703125" style="1711" customWidth="1"/>
    <col min="12829" max="12829" width="7.0703125" style="1711" customWidth="1"/>
    <col min="12830" max="13055" width="9.140625" style="1711"/>
    <col min="13056" max="13056" width="4.42578125" style="1711" customWidth="1"/>
    <col min="13057" max="13057" width="20.5703125" style="1711" customWidth="1"/>
    <col min="13058" max="13058" width="12.42578125" style="1711" customWidth="1"/>
    <col min="13059" max="13059" width="12.5703125" style="1711" customWidth="1"/>
    <col min="13060" max="13060" width="3.92578125" style="1711" customWidth="1"/>
    <col min="13061" max="13061" width="4.28515625" style="1711" customWidth="1"/>
    <col min="13062" max="13062" width="4.0703125" style="1711" customWidth="1"/>
    <col min="13063" max="13063" width="4" style="1711" customWidth="1"/>
    <col min="13064" max="13064" width="16.42578125" style="1711" customWidth="1"/>
    <col min="13065" max="13065" width="5.5703125" style="1711" customWidth="1"/>
    <col min="13066" max="13066" width="8.5703125" style="1711" customWidth="1"/>
    <col min="13067" max="13067" width="5.42578125" style="1711" customWidth="1"/>
    <col min="13068" max="13068" width="4.42578125" style="1711" customWidth="1"/>
    <col min="13069" max="13069" width="4.28515625" style="1711" customWidth="1"/>
    <col min="13070" max="13070" width="3.0703125" style="1711" customWidth="1"/>
    <col min="13071" max="13071" width="4.5703125" style="1711" customWidth="1"/>
    <col min="13072" max="13072" width="4.42578125" style="1711" customWidth="1"/>
    <col min="13073" max="13073" width="4" style="1711" customWidth="1"/>
    <col min="13074" max="13074" width="3" style="1711" customWidth="1"/>
    <col min="13075" max="13075" width="3.92578125" style="1711" customWidth="1"/>
    <col min="13076" max="13076" width="4.42578125" style="1711" customWidth="1"/>
    <col min="13077" max="13077" width="3.42578125" style="1711" customWidth="1"/>
    <col min="13078" max="13078" width="4.92578125" style="1711" customWidth="1"/>
    <col min="13079" max="13079" width="10.5703125" style="1711" customWidth="1"/>
    <col min="13080" max="13080" width="7.0703125" style="1711" customWidth="1"/>
    <col min="13081" max="13081" width="8.0703125" style="1711" customWidth="1"/>
    <col min="13082" max="13084" width="7.5703125" style="1711" customWidth="1"/>
    <col min="13085" max="13085" width="7.0703125" style="1711" customWidth="1"/>
    <col min="13086" max="13311" width="9.140625" style="1711"/>
    <col min="13312" max="13312" width="4.42578125" style="1711" customWidth="1"/>
    <col min="13313" max="13313" width="20.5703125" style="1711" customWidth="1"/>
    <col min="13314" max="13314" width="12.42578125" style="1711" customWidth="1"/>
    <col min="13315" max="13315" width="12.5703125" style="1711" customWidth="1"/>
    <col min="13316" max="13316" width="3.92578125" style="1711" customWidth="1"/>
    <col min="13317" max="13317" width="4.28515625" style="1711" customWidth="1"/>
    <col min="13318" max="13318" width="4.0703125" style="1711" customWidth="1"/>
    <col min="13319" max="13319" width="4" style="1711" customWidth="1"/>
    <col min="13320" max="13320" width="16.42578125" style="1711" customWidth="1"/>
    <col min="13321" max="13321" width="5.5703125" style="1711" customWidth="1"/>
    <col min="13322" max="13322" width="8.5703125" style="1711" customWidth="1"/>
    <col min="13323" max="13323" width="5.42578125" style="1711" customWidth="1"/>
    <col min="13324" max="13324" width="4.42578125" style="1711" customWidth="1"/>
    <col min="13325" max="13325" width="4.28515625" style="1711" customWidth="1"/>
    <col min="13326" max="13326" width="3.0703125" style="1711" customWidth="1"/>
    <col min="13327" max="13327" width="4.5703125" style="1711" customWidth="1"/>
    <col min="13328" max="13328" width="4.42578125" style="1711" customWidth="1"/>
    <col min="13329" max="13329" width="4" style="1711" customWidth="1"/>
    <col min="13330" max="13330" width="3" style="1711" customWidth="1"/>
    <col min="13331" max="13331" width="3.92578125" style="1711" customWidth="1"/>
    <col min="13332" max="13332" width="4.42578125" style="1711" customWidth="1"/>
    <col min="13333" max="13333" width="3.42578125" style="1711" customWidth="1"/>
    <col min="13334" max="13334" width="4.92578125" style="1711" customWidth="1"/>
    <col min="13335" max="13335" width="10.5703125" style="1711" customWidth="1"/>
    <col min="13336" max="13336" width="7.0703125" style="1711" customWidth="1"/>
    <col min="13337" max="13337" width="8.0703125" style="1711" customWidth="1"/>
    <col min="13338" max="13340" width="7.5703125" style="1711" customWidth="1"/>
    <col min="13341" max="13341" width="7.0703125" style="1711" customWidth="1"/>
    <col min="13342" max="13567" width="9.140625" style="1711"/>
    <col min="13568" max="13568" width="4.42578125" style="1711" customWidth="1"/>
    <col min="13569" max="13569" width="20.5703125" style="1711" customWidth="1"/>
    <col min="13570" max="13570" width="12.42578125" style="1711" customWidth="1"/>
    <col min="13571" max="13571" width="12.5703125" style="1711" customWidth="1"/>
    <col min="13572" max="13572" width="3.92578125" style="1711" customWidth="1"/>
    <col min="13573" max="13573" width="4.28515625" style="1711" customWidth="1"/>
    <col min="13574" max="13574" width="4.0703125" style="1711" customWidth="1"/>
    <col min="13575" max="13575" width="4" style="1711" customWidth="1"/>
    <col min="13576" max="13576" width="16.42578125" style="1711" customWidth="1"/>
    <col min="13577" max="13577" width="5.5703125" style="1711" customWidth="1"/>
    <col min="13578" max="13578" width="8.5703125" style="1711" customWidth="1"/>
    <col min="13579" max="13579" width="5.42578125" style="1711" customWidth="1"/>
    <col min="13580" max="13580" width="4.42578125" style="1711" customWidth="1"/>
    <col min="13581" max="13581" width="4.28515625" style="1711" customWidth="1"/>
    <col min="13582" max="13582" width="3.0703125" style="1711" customWidth="1"/>
    <col min="13583" max="13583" width="4.5703125" style="1711" customWidth="1"/>
    <col min="13584" max="13584" width="4.42578125" style="1711" customWidth="1"/>
    <col min="13585" max="13585" width="4" style="1711" customWidth="1"/>
    <col min="13586" max="13586" width="3" style="1711" customWidth="1"/>
    <col min="13587" max="13587" width="3.92578125" style="1711" customWidth="1"/>
    <col min="13588" max="13588" width="4.42578125" style="1711" customWidth="1"/>
    <col min="13589" max="13589" width="3.42578125" style="1711" customWidth="1"/>
    <col min="13590" max="13590" width="4.92578125" style="1711" customWidth="1"/>
    <col min="13591" max="13591" width="10.5703125" style="1711" customWidth="1"/>
    <col min="13592" max="13592" width="7.0703125" style="1711" customWidth="1"/>
    <col min="13593" max="13593" width="8.0703125" style="1711" customWidth="1"/>
    <col min="13594" max="13596" width="7.5703125" style="1711" customWidth="1"/>
    <col min="13597" max="13597" width="7.0703125" style="1711" customWidth="1"/>
    <col min="13598" max="13823" width="9.140625" style="1711"/>
    <col min="13824" max="13824" width="4.42578125" style="1711" customWidth="1"/>
    <col min="13825" max="13825" width="20.5703125" style="1711" customWidth="1"/>
    <col min="13826" max="13826" width="12.42578125" style="1711" customWidth="1"/>
    <col min="13827" max="13827" width="12.5703125" style="1711" customWidth="1"/>
    <col min="13828" max="13828" width="3.92578125" style="1711" customWidth="1"/>
    <col min="13829" max="13829" width="4.28515625" style="1711" customWidth="1"/>
    <col min="13830" max="13830" width="4.0703125" style="1711" customWidth="1"/>
    <col min="13831" max="13831" width="4" style="1711" customWidth="1"/>
    <col min="13832" max="13832" width="16.42578125" style="1711" customWidth="1"/>
    <col min="13833" max="13833" width="5.5703125" style="1711" customWidth="1"/>
    <col min="13834" max="13834" width="8.5703125" style="1711" customWidth="1"/>
    <col min="13835" max="13835" width="5.42578125" style="1711" customWidth="1"/>
    <col min="13836" max="13836" width="4.42578125" style="1711" customWidth="1"/>
    <col min="13837" max="13837" width="4.28515625" style="1711" customWidth="1"/>
    <col min="13838" max="13838" width="3.0703125" style="1711" customWidth="1"/>
    <col min="13839" max="13839" width="4.5703125" style="1711" customWidth="1"/>
    <col min="13840" max="13840" width="4.42578125" style="1711" customWidth="1"/>
    <col min="13841" max="13841" width="4" style="1711" customWidth="1"/>
    <col min="13842" max="13842" width="3" style="1711" customWidth="1"/>
    <col min="13843" max="13843" width="3.92578125" style="1711" customWidth="1"/>
    <col min="13844" max="13844" width="4.42578125" style="1711" customWidth="1"/>
    <col min="13845" max="13845" width="3.42578125" style="1711" customWidth="1"/>
    <col min="13846" max="13846" width="4.92578125" style="1711" customWidth="1"/>
    <col min="13847" max="13847" width="10.5703125" style="1711" customWidth="1"/>
    <col min="13848" max="13848" width="7.0703125" style="1711" customWidth="1"/>
    <col min="13849" max="13849" width="8.0703125" style="1711" customWidth="1"/>
    <col min="13850" max="13852" width="7.5703125" style="1711" customWidth="1"/>
    <col min="13853" max="13853" width="7.0703125" style="1711" customWidth="1"/>
    <col min="13854" max="14079" width="9.140625" style="1711"/>
    <col min="14080" max="14080" width="4.42578125" style="1711" customWidth="1"/>
    <col min="14081" max="14081" width="20.5703125" style="1711" customWidth="1"/>
    <col min="14082" max="14082" width="12.42578125" style="1711" customWidth="1"/>
    <col min="14083" max="14083" width="12.5703125" style="1711" customWidth="1"/>
    <col min="14084" max="14084" width="3.92578125" style="1711" customWidth="1"/>
    <col min="14085" max="14085" width="4.28515625" style="1711" customWidth="1"/>
    <col min="14086" max="14086" width="4.0703125" style="1711" customWidth="1"/>
    <col min="14087" max="14087" width="4" style="1711" customWidth="1"/>
    <col min="14088" max="14088" width="16.42578125" style="1711" customWidth="1"/>
    <col min="14089" max="14089" width="5.5703125" style="1711" customWidth="1"/>
    <col min="14090" max="14090" width="8.5703125" style="1711" customWidth="1"/>
    <col min="14091" max="14091" width="5.42578125" style="1711" customWidth="1"/>
    <col min="14092" max="14092" width="4.42578125" style="1711" customWidth="1"/>
    <col min="14093" max="14093" width="4.28515625" style="1711" customWidth="1"/>
    <col min="14094" max="14094" width="3.0703125" style="1711" customWidth="1"/>
    <col min="14095" max="14095" width="4.5703125" style="1711" customWidth="1"/>
    <col min="14096" max="14096" width="4.42578125" style="1711" customWidth="1"/>
    <col min="14097" max="14097" width="4" style="1711" customWidth="1"/>
    <col min="14098" max="14098" width="3" style="1711" customWidth="1"/>
    <col min="14099" max="14099" width="3.92578125" style="1711" customWidth="1"/>
    <col min="14100" max="14100" width="4.42578125" style="1711" customWidth="1"/>
    <col min="14101" max="14101" width="3.42578125" style="1711" customWidth="1"/>
    <col min="14102" max="14102" width="4.92578125" style="1711" customWidth="1"/>
    <col min="14103" max="14103" width="10.5703125" style="1711" customWidth="1"/>
    <col min="14104" max="14104" width="7.0703125" style="1711" customWidth="1"/>
    <col min="14105" max="14105" width="8.0703125" style="1711" customWidth="1"/>
    <col min="14106" max="14108" width="7.5703125" style="1711" customWidth="1"/>
    <col min="14109" max="14109" width="7.0703125" style="1711" customWidth="1"/>
    <col min="14110" max="14335" width="9.140625" style="1711"/>
    <col min="14336" max="14336" width="4.42578125" style="1711" customWidth="1"/>
    <col min="14337" max="14337" width="20.5703125" style="1711" customWidth="1"/>
    <col min="14338" max="14338" width="12.42578125" style="1711" customWidth="1"/>
    <col min="14339" max="14339" width="12.5703125" style="1711" customWidth="1"/>
    <col min="14340" max="14340" width="3.92578125" style="1711" customWidth="1"/>
    <col min="14341" max="14341" width="4.28515625" style="1711" customWidth="1"/>
    <col min="14342" max="14342" width="4.0703125" style="1711" customWidth="1"/>
    <col min="14343" max="14343" width="4" style="1711" customWidth="1"/>
    <col min="14344" max="14344" width="16.42578125" style="1711" customWidth="1"/>
    <col min="14345" max="14345" width="5.5703125" style="1711" customWidth="1"/>
    <col min="14346" max="14346" width="8.5703125" style="1711" customWidth="1"/>
    <col min="14347" max="14347" width="5.42578125" style="1711" customWidth="1"/>
    <col min="14348" max="14348" width="4.42578125" style="1711" customWidth="1"/>
    <col min="14349" max="14349" width="4.28515625" style="1711" customWidth="1"/>
    <col min="14350" max="14350" width="3.0703125" style="1711" customWidth="1"/>
    <col min="14351" max="14351" width="4.5703125" style="1711" customWidth="1"/>
    <col min="14352" max="14352" width="4.42578125" style="1711" customWidth="1"/>
    <col min="14353" max="14353" width="4" style="1711" customWidth="1"/>
    <col min="14354" max="14354" width="3" style="1711" customWidth="1"/>
    <col min="14355" max="14355" width="3.92578125" style="1711" customWidth="1"/>
    <col min="14356" max="14356" width="4.42578125" style="1711" customWidth="1"/>
    <col min="14357" max="14357" width="3.42578125" style="1711" customWidth="1"/>
    <col min="14358" max="14358" width="4.92578125" style="1711" customWidth="1"/>
    <col min="14359" max="14359" width="10.5703125" style="1711" customWidth="1"/>
    <col min="14360" max="14360" width="7.0703125" style="1711" customWidth="1"/>
    <col min="14361" max="14361" width="8.0703125" style="1711" customWidth="1"/>
    <col min="14362" max="14364" width="7.5703125" style="1711" customWidth="1"/>
    <col min="14365" max="14365" width="7.0703125" style="1711" customWidth="1"/>
    <col min="14366" max="14591" width="9.140625" style="1711"/>
    <col min="14592" max="14592" width="4.42578125" style="1711" customWidth="1"/>
    <col min="14593" max="14593" width="20.5703125" style="1711" customWidth="1"/>
    <col min="14594" max="14594" width="12.42578125" style="1711" customWidth="1"/>
    <col min="14595" max="14595" width="12.5703125" style="1711" customWidth="1"/>
    <col min="14596" max="14596" width="3.92578125" style="1711" customWidth="1"/>
    <col min="14597" max="14597" width="4.28515625" style="1711" customWidth="1"/>
    <col min="14598" max="14598" width="4.0703125" style="1711" customWidth="1"/>
    <col min="14599" max="14599" width="4" style="1711" customWidth="1"/>
    <col min="14600" max="14600" width="16.42578125" style="1711" customWidth="1"/>
    <col min="14601" max="14601" width="5.5703125" style="1711" customWidth="1"/>
    <col min="14602" max="14602" width="8.5703125" style="1711" customWidth="1"/>
    <col min="14603" max="14603" width="5.42578125" style="1711" customWidth="1"/>
    <col min="14604" max="14604" width="4.42578125" style="1711" customWidth="1"/>
    <col min="14605" max="14605" width="4.28515625" style="1711" customWidth="1"/>
    <col min="14606" max="14606" width="3.0703125" style="1711" customWidth="1"/>
    <col min="14607" max="14607" width="4.5703125" style="1711" customWidth="1"/>
    <col min="14608" max="14608" width="4.42578125" style="1711" customWidth="1"/>
    <col min="14609" max="14609" width="4" style="1711" customWidth="1"/>
    <col min="14610" max="14610" width="3" style="1711" customWidth="1"/>
    <col min="14611" max="14611" width="3.92578125" style="1711" customWidth="1"/>
    <col min="14612" max="14612" width="4.42578125" style="1711" customWidth="1"/>
    <col min="14613" max="14613" width="3.42578125" style="1711" customWidth="1"/>
    <col min="14614" max="14614" width="4.92578125" style="1711" customWidth="1"/>
    <col min="14615" max="14615" width="10.5703125" style="1711" customWidth="1"/>
    <col min="14616" max="14616" width="7.0703125" style="1711" customWidth="1"/>
    <col min="14617" max="14617" width="8.0703125" style="1711" customWidth="1"/>
    <col min="14618" max="14620" width="7.5703125" style="1711" customWidth="1"/>
    <col min="14621" max="14621" width="7.0703125" style="1711" customWidth="1"/>
    <col min="14622" max="14847" width="9.140625" style="1711"/>
    <col min="14848" max="14848" width="4.42578125" style="1711" customWidth="1"/>
    <col min="14849" max="14849" width="20.5703125" style="1711" customWidth="1"/>
    <col min="14850" max="14850" width="12.42578125" style="1711" customWidth="1"/>
    <col min="14851" max="14851" width="12.5703125" style="1711" customWidth="1"/>
    <col min="14852" max="14852" width="3.92578125" style="1711" customWidth="1"/>
    <col min="14853" max="14853" width="4.28515625" style="1711" customWidth="1"/>
    <col min="14854" max="14854" width="4.0703125" style="1711" customWidth="1"/>
    <col min="14855" max="14855" width="4" style="1711" customWidth="1"/>
    <col min="14856" max="14856" width="16.42578125" style="1711" customWidth="1"/>
    <col min="14857" max="14857" width="5.5703125" style="1711" customWidth="1"/>
    <col min="14858" max="14858" width="8.5703125" style="1711" customWidth="1"/>
    <col min="14859" max="14859" width="5.42578125" style="1711" customWidth="1"/>
    <col min="14860" max="14860" width="4.42578125" style="1711" customWidth="1"/>
    <col min="14861" max="14861" width="4.28515625" style="1711" customWidth="1"/>
    <col min="14862" max="14862" width="3.0703125" style="1711" customWidth="1"/>
    <col min="14863" max="14863" width="4.5703125" style="1711" customWidth="1"/>
    <col min="14864" max="14864" width="4.42578125" style="1711" customWidth="1"/>
    <col min="14865" max="14865" width="4" style="1711" customWidth="1"/>
    <col min="14866" max="14866" width="3" style="1711" customWidth="1"/>
    <col min="14867" max="14867" width="3.92578125" style="1711" customWidth="1"/>
    <col min="14868" max="14868" width="4.42578125" style="1711" customWidth="1"/>
    <col min="14869" max="14869" width="3.42578125" style="1711" customWidth="1"/>
    <col min="14870" max="14870" width="4.92578125" style="1711" customWidth="1"/>
    <col min="14871" max="14871" width="10.5703125" style="1711" customWidth="1"/>
    <col min="14872" max="14872" width="7.0703125" style="1711" customWidth="1"/>
    <col min="14873" max="14873" width="8.0703125" style="1711" customWidth="1"/>
    <col min="14874" max="14876" width="7.5703125" style="1711" customWidth="1"/>
    <col min="14877" max="14877" width="7.0703125" style="1711" customWidth="1"/>
    <col min="14878" max="15103" width="9.140625" style="1711"/>
    <col min="15104" max="15104" width="4.42578125" style="1711" customWidth="1"/>
    <col min="15105" max="15105" width="20.5703125" style="1711" customWidth="1"/>
    <col min="15106" max="15106" width="12.42578125" style="1711" customWidth="1"/>
    <col min="15107" max="15107" width="12.5703125" style="1711" customWidth="1"/>
    <col min="15108" max="15108" width="3.92578125" style="1711" customWidth="1"/>
    <col min="15109" max="15109" width="4.28515625" style="1711" customWidth="1"/>
    <col min="15110" max="15110" width="4.0703125" style="1711" customWidth="1"/>
    <col min="15111" max="15111" width="4" style="1711" customWidth="1"/>
    <col min="15112" max="15112" width="16.42578125" style="1711" customWidth="1"/>
    <col min="15113" max="15113" width="5.5703125" style="1711" customWidth="1"/>
    <col min="15114" max="15114" width="8.5703125" style="1711" customWidth="1"/>
    <col min="15115" max="15115" width="5.42578125" style="1711" customWidth="1"/>
    <col min="15116" max="15116" width="4.42578125" style="1711" customWidth="1"/>
    <col min="15117" max="15117" width="4.28515625" style="1711" customWidth="1"/>
    <col min="15118" max="15118" width="3.0703125" style="1711" customWidth="1"/>
    <col min="15119" max="15119" width="4.5703125" style="1711" customWidth="1"/>
    <col min="15120" max="15120" width="4.42578125" style="1711" customWidth="1"/>
    <col min="15121" max="15121" width="4" style="1711" customWidth="1"/>
    <col min="15122" max="15122" width="3" style="1711" customWidth="1"/>
    <col min="15123" max="15123" width="3.92578125" style="1711" customWidth="1"/>
    <col min="15124" max="15124" width="4.42578125" style="1711" customWidth="1"/>
    <col min="15125" max="15125" width="3.42578125" style="1711" customWidth="1"/>
    <col min="15126" max="15126" width="4.92578125" style="1711" customWidth="1"/>
    <col min="15127" max="15127" width="10.5703125" style="1711" customWidth="1"/>
    <col min="15128" max="15128" width="7.0703125" style="1711" customWidth="1"/>
    <col min="15129" max="15129" width="8.0703125" style="1711" customWidth="1"/>
    <col min="15130" max="15132" width="7.5703125" style="1711" customWidth="1"/>
    <col min="15133" max="15133" width="7.0703125" style="1711" customWidth="1"/>
    <col min="15134" max="15359" width="9.140625" style="1711"/>
    <col min="15360" max="15360" width="4.42578125" style="1711" customWidth="1"/>
    <col min="15361" max="15361" width="20.5703125" style="1711" customWidth="1"/>
    <col min="15362" max="15362" width="12.42578125" style="1711" customWidth="1"/>
    <col min="15363" max="15363" width="12.5703125" style="1711" customWidth="1"/>
    <col min="15364" max="15364" width="3.92578125" style="1711" customWidth="1"/>
    <col min="15365" max="15365" width="4.28515625" style="1711" customWidth="1"/>
    <col min="15366" max="15366" width="4.0703125" style="1711" customWidth="1"/>
    <col min="15367" max="15367" width="4" style="1711" customWidth="1"/>
    <col min="15368" max="15368" width="16.42578125" style="1711" customWidth="1"/>
    <col min="15369" max="15369" width="5.5703125" style="1711" customWidth="1"/>
    <col min="15370" max="15370" width="8.5703125" style="1711" customWidth="1"/>
    <col min="15371" max="15371" width="5.42578125" style="1711" customWidth="1"/>
    <col min="15372" max="15372" width="4.42578125" style="1711" customWidth="1"/>
    <col min="15373" max="15373" width="4.28515625" style="1711" customWidth="1"/>
    <col min="15374" max="15374" width="3.0703125" style="1711" customWidth="1"/>
    <col min="15375" max="15375" width="4.5703125" style="1711" customWidth="1"/>
    <col min="15376" max="15376" width="4.42578125" style="1711" customWidth="1"/>
    <col min="15377" max="15377" width="4" style="1711" customWidth="1"/>
    <col min="15378" max="15378" width="3" style="1711" customWidth="1"/>
    <col min="15379" max="15379" width="3.92578125" style="1711" customWidth="1"/>
    <col min="15380" max="15380" width="4.42578125" style="1711" customWidth="1"/>
    <col min="15381" max="15381" width="3.42578125" style="1711" customWidth="1"/>
    <col min="15382" max="15382" width="4.92578125" style="1711" customWidth="1"/>
    <col min="15383" max="15383" width="10.5703125" style="1711" customWidth="1"/>
    <col min="15384" max="15384" width="7.0703125" style="1711" customWidth="1"/>
    <col min="15385" max="15385" width="8.0703125" style="1711" customWidth="1"/>
    <col min="15386" max="15388" width="7.5703125" style="1711" customWidth="1"/>
    <col min="15389" max="15389" width="7.0703125" style="1711" customWidth="1"/>
    <col min="15390" max="15615" width="9.140625" style="1711"/>
    <col min="15616" max="15616" width="4.42578125" style="1711" customWidth="1"/>
    <col min="15617" max="15617" width="20.5703125" style="1711" customWidth="1"/>
    <col min="15618" max="15618" width="12.42578125" style="1711" customWidth="1"/>
    <col min="15619" max="15619" width="12.5703125" style="1711" customWidth="1"/>
    <col min="15620" max="15620" width="3.92578125" style="1711" customWidth="1"/>
    <col min="15621" max="15621" width="4.28515625" style="1711" customWidth="1"/>
    <col min="15622" max="15622" width="4.0703125" style="1711" customWidth="1"/>
    <col min="15623" max="15623" width="4" style="1711" customWidth="1"/>
    <col min="15624" max="15624" width="16.42578125" style="1711" customWidth="1"/>
    <col min="15625" max="15625" width="5.5703125" style="1711" customWidth="1"/>
    <col min="15626" max="15626" width="8.5703125" style="1711" customWidth="1"/>
    <col min="15627" max="15627" width="5.42578125" style="1711" customWidth="1"/>
    <col min="15628" max="15628" width="4.42578125" style="1711" customWidth="1"/>
    <col min="15629" max="15629" width="4.28515625" style="1711" customWidth="1"/>
    <col min="15630" max="15630" width="3.0703125" style="1711" customWidth="1"/>
    <col min="15631" max="15631" width="4.5703125" style="1711" customWidth="1"/>
    <col min="15632" max="15632" width="4.42578125" style="1711" customWidth="1"/>
    <col min="15633" max="15633" width="4" style="1711" customWidth="1"/>
    <col min="15634" max="15634" width="3" style="1711" customWidth="1"/>
    <col min="15635" max="15635" width="3.92578125" style="1711" customWidth="1"/>
    <col min="15636" max="15636" width="4.42578125" style="1711" customWidth="1"/>
    <col min="15637" max="15637" width="3.42578125" style="1711" customWidth="1"/>
    <col min="15638" max="15638" width="4.92578125" style="1711" customWidth="1"/>
    <col min="15639" max="15639" width="10.5703125" style="1711" customWidth="1"/>
    <col min="15640" max="15640" width="7.0703125" style="1711" customWidth="1"/>
    <col min="15641" max="15641" width="8.0703125" style="1711" customWidth="1"/>
    <col min="15642" max="15644" width="7.5703125" style="1711" customWidth="1"/>
    <col min="15645" max="15645" width="7.0703125" style="1711" customWidth="1"/>
    <col min="15646" max="15871" width="9.140625" style="1711"/>
    <col min="15872" max="15872" width="4.42578125" style="1711" customWidth="1"/>
    <col min="15873" max="15873" width="20.5703125" style="1711" customWidth="1"/>
    <col min="15874" max="15874" width="12.42578125" style="1711" customWidth="1"/>
    <col min="15875" max="15875" width="12.5703125" style="1711" customWidth="1"/>
    <col min="15876" max="15876" width="3.92578125" style="1711" customWidth="1"/>
    <col min="15877" max="15877" width="4.28515625" style="1711" customWidth="1"/>
    <col min="15878" max="15878" width="4.0703125" style="1711" customWidth="1"/>
    <col min="15879" max="15879" width="4" style="1711" customWidth="1"/>
    <col min="15880" max="15880" width="16.42578125" style="1711" customWidth="1"/>
    <col min="15881" max="15881" width="5.5703125" style="1711" customWidth="1"/>
    <col min="15882" max="15882" width="8.5703125" style="1711" customWidth="1"/>
    <col min="15883" max="15883" width="5.42578125" style="1711" customWidth="1"/>
    <col min="15884" max="15884" width="4.42578125" style="1711" customWidth="1"/>
    <col min="15885" max="15885" width="4.28515625" style="1711" customWidth="1"/>
    <col min="15886" max="15886" width="3.0703125" style="1711" customWidth="1"/>
    <col min="15887" max="15887" width="4.5703125" style="1711" customWidth="1"/>
    <col min="15888" max="15888" width="4.42578125" style="1711" customWidth="1"/>
    <col min="15889" max="15889" width="4" style="1711" customWidth="1"/>
    <col min="15890" max="15890" width="3" style="1711" customWidth="1"/>
    <col min="15891" max="15891" width="3.92578125" style="1711" customWidth="1"/>
    <col min="15892" max="15892" width="4.42578125" style="1711" customWidth="1"/>
    <col min="15893" max="15893" width="3.42578125" style="1711" customWidth="1"/>
    <col min="15894" max="15894" width="4.92578125" style="1711" customWidth="1"/>
    <col min="15895" max="15895" width="10.5703125" style="1711" customWidth="1"/>
    <col min="15896" max="15896" width="7.0703125" style="1711" customWidth="1"/>
    <col min="15897" max="15897" width="8.0703125" style="1711" customWidth="1"/>
    <col min="15898" max="15900" width="7.5703125" style="1711" customWidth="1"/>
    <col min="15901" max="15901" width="7.0703125" style="1711" customWidth="1"/>
    <col min="15902" max="16127" width="9.140625" style="1711"/>
    <col min="16128" max="16128" width="4.42578125" style="1711" customWidth="1"/>
    <col min="16129" max="16129" width="20.5703125" style="1711" customWidth="1"/>
    <col min="16130" max="16130" width="12.42578125" style="1711" customWidth="1"/>
    <col min="16131" max="16131" width="12.5703125" style="1711" customWidth="1"/>
    <col min="16132" max="16132" width="3.92578125" style="1711" customWidth="1"/>
    <col min="16133" max="16133" width="4.28515625" style="1711" customWidth="1"/>
    <col min="16134" max="16134" width="4.0703125" style="1711" customWidth="1"/>
    <col min="16135" max="16135" width="4" style="1711" customWidth="1"/>
    <col min="16136" max="16136" width="16.42578125" style="1711" customWidth="1"/>
    <col min="16137" max="16137" width="5.5703125" style="1711" customWidth="1"/>
    <col min="16138" max="16138" width="8.5703125" style="1711" customWidth="1"/>
    <col min="16139" max="16139" width="5.42578125" style="1711" customWidth="1"/>
    <col min="16140" max="16140" width="4.42578125" style="1711" customWidth="1"/>
    <col min="16141" max="16141" width="4.28515625" style="1711" customWidth="1"/>
    <col min="16142" max="16142" width="3.0703125" style="1711" customWidth="1"/>
    <col min="16143" max="16143" width="4.5703125" style="1711" customWidth="1"/>
    <col min="16144" max="16144" width="4.42578125" style="1711" customWidth="1"/>
    <col min="16145" max="16145" width="4" style="1711" customWidth="1"/>
    <col min="16146" max="16146" width="3" style="1711" customWidth="1"/>
    <col min="16147" max="16147" width="3.92578125" style="1711" customWidth="1"/>
    <col min="16148" max="16148" width="4.42578125" style="1711" customWidth="1"/>
    <col min="16149" max="16149" width="3.42578125" style="1711" customWidth="1"/>
    <col min="16150" max="16150" width="4.92578125" style="1711" customWidth="1"/>
    <col min="16151" max="16151" width="10.5703125" style="1711" customWidth="1"/>
    <col min="16152" max="16152" width="7.0703125" style="1711" customWidth="1"/>
    <col min="16153" max="16153" width="8.0703125" style="1711" customWidth="1"/>
    <col min="16154" max="16156" width="7.5703125" style="1711" customWidth="1"/>
    <col min="16157" max="16157" width="7.0703125" style="1711" customWidth="1"/>
    <col min="16158" max="16384" width="9.140625" style="1711"/>
  </cols>
  <sheetData>
    <row r="1" spans="1:33">
      <c r="D1" s="3594" t="s">
        <v>186</v>
      </c>
      <c r="E1" s="3594"/>
      <c r="F1" s="3594"/>
      <c r="G1" s="3594"/>
      <c r="H1" s="3594"/>
      <c r="I1" s="3594"/>
      <c r="J1" s="3594"/>
      <c r="K1" s="3594"/>
      <c r="L1" s="3594"/>
      <c r="M1" s="3594"/>
      <c r="N1" s="3594"/>
      <c r="O1" s="3594"/>
      <c r="P1" s="3594"/>
      <c r="Q1" s="3594"/>
      <c r="R1" s="3594"/>
      <c r="S1" s="3594"/>
      <c r="T1" s="3594"/>
      <c r="U1" s="3594"/>
      <c r="V1" s="3594"/>
      <c r="W1" s="3594"/>
      <c r="X1" s="3594"/>
      <c r="Y1" s="3594"/>
      <c r="Z1" s="3594"/>
      <c r="AA1" s="3594"/>
      <c r="AB1" s="3594"/>
    </row>
    <row r="2" spans="1:33" ht="20.25" customHeight="1">
      <c r="D2" s="1712" t="s">
        <v>0</v>
      </c>
      <c r="E2" s="1713" t="s">
        <v>1</v>
      </c>
      <c r="G2" s="1714" t="s">
        <v>238</v>
      </c>
      <c r="J2" s="1715"/>
    </row>
    <row r="3" spans="1:33" ht="19.5" customHeight="1">
      <c r="D3" s="1716" t="s">
        <v>2</v>
      </c>
      <c r="E3" s="1716"/>
      <c r="F3" s="1716"/>
      <c r="G3" s="1716"/>
      <c r="H3" s="1716"/>
      <c r="I3" s="1716"/>
      <c r="J3" s="1716"/>
      <c r="K3" s="1716"/>
      <c r="L3" s="1716"/>
      <c r="M3" s="1716"/>
      <c r="N3" s="1716"/>
      <c r="O3" s="1716"/>
      <c r="P3" s="1716"/>
      <c r="Q3" s="1716"/>
      <c r="R3" s="1716"/>
      <c r="S3" s="1716"/>
      <c r="T3" s="1716"/>
      <c r="U3" s="1716"/>
      <c r="V3" s="1716"/>
    </row>
    <row r="4" spans="1:33" ht="19.5" customHeight="1">
      <c r="D4" s="1716" t="s">
        <v>2251</v>
      </c>
      <c r="E4" s="1716"/>
      <c r="F4" s="1716"/>
      <c r="G4" s="1716"/>
      <c r="H4" s="1716"/>
      <c r="I4" s="1716"/>
      <c r="J4" s="1716"/>
      <c r="K4" s="1716"/>
      <c r="R4" s="1716"/>
      <c r="S4" s="1716"/>
      <c r="T4" s="1716"/>
      <c r="U4" s="1716"/>
      <c r="V4" s="1716"/>
    </row>
    <row r="5" spans="1:33" ht="19.5" customHeight="1">
      <c r="D5" s="1712" t="s">
        <v>2252</v>
      </c>
      <c r="E5" s="1716"/>
      <c r="F5" s="1716"/>
      <c r="G5" s="1716"/>
      <c r="H5" s="1716"/>
      <c r="I5" s="1716"/>
      <c r="J5" s="1716"/>
      <c r="K5" s="1716" t="s">
        <v>3</v>
      </c>
      <c r="M5" s="438" t="s">
        <v>37</v>
      </c>
      <c r="N5" s="431" t="s">
        <v>11</v>
      </c>
      <c r="O5" s="433" t="s">
        <v>22</v>
      </c>
      <c r="P5" s="433" t="s">
        <v>23</v>
      </c>
      <c r="Q5" s="433" t="s">
        <v>24</v>
      </c>
      <c r="R5" s="433" t="s">
        <v>25</v>
      </c>
      <c r="S5" s="433" t="s">
        <v>26</v>
      </c>
      <c r="T5" s="433" t="s">
        <v>27</v>
      </c>
      <c r="U5" s="433" t="s">
        <v>28</v>
      </c>
      <c r="V5" s="433" t="s">
        <v>29</v>
      </c>
      <c r="W5" s="433" t="s">
        <v>30</v>
      </c>
      <c r="X5" s="433" t="s">
        <v>31</v>
      </c>
      <c r="Y5" s="433" t="s">
        <v>32</v>
      </c>
      <c r="Z5" s="433" t="s">
        <v>33</v>
      </c>
      <c r="AA5" s="2053" t="s">
        <v>2287</v>
      </c>
      <c r="AB5" s="2053" t="s">
        <v>2288</v>
      </c>
      <c r="AC5" s="2053" t="s">
        <v>2289</v>
      </c>
      <c r="AD5" s="2053" t="s">
        <v>2290</v>
      </c>
      <c r="AE5" s="2053" t="s">
        <v>2291</v>
      </c>
    </row>
    <row r="6" spans="1:33" ht="19.5" customHeight="1">
      <c r="D6" s="1716" t="s">
        <v>4</v>
      </c>
      <c r="E6" s="1716"/>
      <c r="F6" s="1716"/>
      <c r="G6" s="1716" t="s">
        <v>5</v>
      </c>
      <c r="H6" s="1716"/>
      <c r="I6" s="1716"/>
      <c r="J6" s="1716"/>
      <c r="K6" s="1716"/>
      <c r="M6" s="2873">
        <v>28</v>
      </c>
      <c r="N6" s="432">
        <f>SUM(N11:N126)</f>
        <v>506630</v>
      </c>
      <c r="O6" s="432">
        <f>O11+O17+O25+O32+O42+O46+O48+O52+O54+O58+O61+O63+O67+O77+O81+O85+O88+O90+O95+O97+O99+O104+O107+O110+O113+O116+O119+O122</f>
        <v>94200</v>
      </c>
      <c r="P6" s="432">
        <f>P11+P17+P25+P32+P42+P46+P48+P52+P54+P58+P61+P63+P67+P77+P81+P85+P88+P90+P95+P97+P99+P104+P107+P110+P113+P116+P119+P122</f>
        <v>27000</v>
      </c>
      <c r="Q6" s="432">
        <f t="shared" ref="Q6:Z6" si="0">Q11+Q17+Q25+Q32+Q42+Q46+Q48+Q52+Q54+Q58+Q61+Q63+Q67+Q77+Q81+Q85+Q88+Q90+Q95+Q97+Q99+Q104+Q107+Q110+Q113+Q116+Q119+Q122</f>
        <v>63650</v>
      </c>
      <c r="R6" s="432">
        <f t="shared" si="0"/>
        <v>60855</v>
      </c>
      <c r="S6" s="432">
        <f t="shared" si="0"/>
        <v>51530</v>
      </c>
      <c r="T6" s="432">
        <f t="shared" si="0"/>
        <v>30900</v>
      </c>
      <c r="U6" s="432">
        <f t="shared" si="0"/>
        <v>41620</v>
      </c>
      <c r="V6" s="432">
        <f t="shared" si="0"/>
        <v>12625</v>
      </c>
      <c r="W6" s="432">
        <f t="shared" si="0"/>
        <v>44100</v>
      </c>
      <c r="X6" s="432">
        <f t="shared" si="0"/>
        <v>30850</v>
      </c>
      <c r="Y6" s="432">
        <f t="shared" si="0"/>
        <v>16100</v>
      </c>
      <c r="Z6" s="432">
        <f t="shared" si="0"/>
        <v>33200</v>
      </c>
      <c r="AA6" s="2058">
        <f>N17+N25+N32+N58+N61+N63+N67+N77+N81+N90+N95+N97+N99+N104+N107+N110+N113+N116+N119</f>
        <v>350540</v>
      </c>
      <c r="AB6" s="2058">
        <f>N11+N42+N46+N48+N52+N54+N85+N88+N122</f>
        <v>156090</v>
      </c>
      <c r="AC6" s="2059"/>
      <c r="AD6" s="2058"/>
      <c r="AE6" s="2058"/>
      <c r="AF6" s="1954">
        <f>SUM(AA6:AE6)</f>
        <v>506630</v>
      </c>
      <c r="AG6" s="1954">
        <f>N6-AF6</f>
        <v>0</v>
      </c>
    </row>
    <row r="7" spans="1:33" ht="19.5" customHeight="1">
      <c r="D7" s="1717"/>
      <c r="E7" s="1716"/>
      <c r="F7" s="1716"/>
      <c r="G7" s="1716" t="s">
        <v>3</v>
      </c>
      <c r="H7" s="1716"/>
      <c r="I7" s="1716"/>
      <c r="J7" s="1716"/>
      <c r="K7" s="1716"/>
      <c r="M7" s="436"/>
      <c r="N7" s="434"/>
      <c r="O7" s="435"/>
      <c r="P7" s="435"/>
      <c r="Q7" s="435">
        <f>O6+P6+Q6</f>
        <v>184850</v>
      </c>
      <c r="R7" s="435"/>
      <c r="S7" s="435"/>
      <c r="T7" s="435">
        <f>R6+S6+T6</f>
        <v>143285</v>
      </c>
      <c r="U7" s="435"/>
      <c r="V7" s="435"/>
      <c r="W7" s="435">
        <f>U6+V6+W6</f>
        <v>98345</v>
      </c>
      <c r="X7" s="435"/>
      <c r="Y7" s="435"/>
      <c r="Z7" s="435">
        <f>X6+Y6+Z6</f>
        <v>80150</v>
      </c>
    </row>
    <row r="8" spans="1:33" ht="25.5" customHeight="1">
      <c r="A8" s="1718" t="s">
        <v>34</v>
      </c>
      <c r="B8" s="1718"/>
      <c r="C8" s="3579" t="s">
        <v>37</v>
      </c>
      <c r="D8" s="3580" t="s">
        <v>6</v>
      </c>
      <c r="E8" s="3595" t="s">
        <v>7</v>
      </c>
      <c r="F8" s="3595" t="s">
        <v>8</v>
      </c>
      <c r="G8" s="3595" t="s">
        <v>9</v>
      </c>
      <c r="H8" s="3598" t="s">
        <v>10</v>
      </c>
      <c r="I8" s="3599"/>
      <c r="J8" s="3599"/>
      <c r="K8" s="3600"/>
      <c r="L8" s="3583" t="s">
        <v>11</v>
      </c>
      <c r="M8" s="3584"/>
      <c r="N8" s="3587" t="s">
        <v>12</v>
      </c>
      <c r="O8" s="3578" t="s">
        <v>13</v>
      </c>
      <c r="P8" s="3578"/>
      <c r="Q8" s="3578"/>
      <c r="R8" s="3578"/>
      <c r="S8" s="3578"/>
      <c r="T8" s="3578"/>
      <c r="U8" s="3578"/>
      <c r="V8" s="3578"/>
      <c r="W8" s="3578"/>
      <c r="X8" s="3578"/>
      <c r="Y8" s="3578"/>
      <c r="Z8" s="3578"/>
      <c r="AA8" s="3595" t="s">
        <v>14</v>
      </c>
      <c r="AB8" s="3579" t="s">
        <v>15</v>
      </c>
    </row>
    <row r="9" spans="1:33">
      <c r="A9" s="1718"/>
      <c r="B9" s="1718"/>
      <c r="C9" s="3579"/>
      <c r="D9" s="3581"/>
      <c r="E9" s="3596"/>
      <c r="F9" s="3596"/>
      <c r="G9" s="3596"/>
      <c r="H9" s="3601"/>
      <c r="I9" s="3602"/>
      <c r="J9" s="3602"/>
      <c r="K9" s="3603"/>
      <c r="L9" s="3585"/>
      <c r="M9" s="3586"/>
      <c r="N9" s="3588"/>
      <c r="O9" s="3578" t="s">
        <v>16</v>
      </c>
      <c r="P9" s="3578"/>
      <c r="Q9" s="3578"/>
      <c r="R9" s="3578" t="s">
        <v>17</v>
      </c>
      <c r="S9" s="3578"/>
      <c r="T9" s="3578"/>
      <c r="U9" s="3578" t="s">
        <v>18</v>
      </c>
      <c r="V9" s="3578"/>
      <c r="W9" s="3578"/>
      <c r="X9" s="3578" t="s">
        <v>19</v>
      </c>
      <c r="Y9" s="3578"/>
      <c r="Z9" s="3578"/>
      <c r="AA9" s="3596"/>
      <c r="AB9" s="3579"/>
    </row>
    <row r="10" spans="1:33">
      <c r="A10" s="1718" t="s">
        <v>36</v>
      </c>
      <c r="B10" s="1718" t="s">
        <v>35</v>
      </c>
      <c r="C10" s="3579"/>
      <c r="D10" s="3582"/>
      <c r="E10" s="3597"/>
      <c r="F10" s="3597"/>
      <c r="G10" s="3597"/>
      <c r="H10" s="1719">
        <v>1</v>
      </c>
      <c r="I10" s="1719">
        <v>2</v>
      </c>
      <c r="J10" s="1719">
        <v>3</v>
      </c>
      <c r="K10" s="1719">
        <v>4</v>
      </c>
      <c r="L10" s="1720" t="s">
        <v>20</v>
      </c>
      <c r="M10" s="1721" t="s">
        <v>21</v>
      </c>
      <c r="N10" s="3589"/>
      <c r="O10" s="1722" t="s">
        <v>22</v>
      </c>
      <c r="P10" s="1722" t="s">
        <v>23</v>
      </c>
      <c r="Q10" s="1722" t="s">
        <v>24</v>
      </c>
      <c r="R10" s="1722" t="s">
        <v>25</v>
      </c>
      <c r="S10" s="1722" t="s">
        <v>26</v>
      </c>
      <c r="T10" s="1722" t="s">
        <v>27</v>
      </c>
      <c r="U10" s="1722" t="s">
        <v>28</v>
      </c>
      <c r="V10" s="1722" t="s">
        <v>29</v>
      </c>
      <c r="W10" s="1722" t="s">
        <v>30</v>
      </c>
      <c r="X10" s="1722" t="s">
        <v>31</v>
      </c>
      <c r="Y10" s="1722" t="s">
        <v>32</v>
      </c>
      <c r="Z10" s="1722" t="s">
        <v>33</v>
      </c>
      <c r="AA10" s="3597"/>
      <c r="AB10" s="3579"/>
    </row>
    <row r="11" spans="1:33">
      <c r="A11" s="1955">
        <v>1</v>
      </c>
      <c r="B11" s="1955">
        <v>2</v>
      </c>
      <c r="C11" s="1955">
        <v>3</v>
      </c>
      <c r="D11" s="1956">
        <v>1</v>
      </c>
      <c r="E11" s="1957" t="s">
        <v>1469</v>
      </c>
      <c r="F11" s="1958"/>
      <c r="G11" s="1959"/>
      <c r="H11" s="1960"/>
      <c r="I11" s="1959"/>
      <c r="J11" s="1959"/>
      <c r="K11" s="1959"/>
      <c r="L11" s="1961"/>
      <c r="M11" s="1962"/>
      <c r="N11" s="1963">
        <f>SUM(M12:M16)</f>
        <v>40850</v>
      </c>
      <c r="O11" s="1964">
        <f>SUM(O12:O16)</f>
        <v>0</v>
      </c>
      <c r="P11" s="1964">
        <f t="shared" ref="P11:Z11" si="1">SUM(P12:P16)</f>
        <v>0</v>
      </c>
      <c r="Q11" s="1964">
        <f t="shared" si="1"/>
        <v>7200</v>
      </c>
      <c r="R11" s="1964">
        <f t="shared" si="1"/>
        <v>625</v>
      </c>
      <c r="S11" s="1964">
        <f t="shared" si="1"/>
        <v>0</v>
      </c>
      <c r="T11" s="1964">
        <f t="shared" si="1"/>
        <v>7200</v>
      </c>
      <c r="U11" s="1964">
        <f t="shared" si="1"/>
        <v>0</v>
      </c>
      <c r="V11" s="1964">
        <f t="shared" si="1"/>
        <v>6625</v>
      </c>
      <c r="W11" s="1964">
        <f t="shared" si="1"/>
        <v>13200</v>
      </c>
      <c r="X11" s="1964">
        <f t="shared" si="1"/>
        <v>6000</v>
      </c>
      <c r="Y11" s="1964">
        <f t="shared" si="1"/>
        <v>0</v>
      </c>
      <c r="Z11" s="1964">
        <f t="shared" si="1"/>
        <v>0</v>
      </c>
      <c r="AA11" s="1965" t="s">
        <v>2212</v>
      </c>
      <c r="AB11" s="1966" t="s">
        <v>1048</v>
      </c>
    </row>
    <row r="12" spans="1:33" ht="75" hidden="1">
      <c r="A12" s="1718"/>
      <c r="B12" s="1718"/>
      <c r="C12" s="1718"/>
      <c r="D12" s="1724"/>
      <c r="E12" s="1725" t="s">
        <v>1471</v>
      </c>
      <c r="F12" s="1726" t="s">
        <v>1472</v>
      </c>
      <c r="G12" s="1726" t="s">
        <v>1473</v>
      </c>
      <c r="H12" s="1726" t="s">
        <v>539</v>
      </c>
      <c r="I12" s="1727" t="s">
        <v>539</v>
      </c>
      <c r="J12" s="1727" t="s">
        <v>539</v>
      </c>
      <c r="K12" s="1727" t="s">
        <v>539</v>
      </c>
      <c r="L12" s="1728" t="s">
        <v>2282</v>
      </c>
      <c r="M12" s="1728">
        <f>25*2*3*60</f>
        <v>9000</v>
      </c>
      <c r="N12" s="1729"/>
      <c r="O12" s="1730"/>
      <c r="P12" s="1730"/>
      <c r="Q12" s="1731">
        <v>3000</v>
      </c>
      <c r="R12" s="1730"/>
      <c r="S12" s="1731"/>
      <c r="T12" s="1732">
        <v>3000</v>
      </c>
      <c r="U12" s="1730"/>
      <c r="V12" s="1733" t="s">
        <v>1474</v>
      </c>
      <c r="W12" s="1731">
        <v>3000</v>
      </c>
      <c r="X12" s="1731"/>
      <c r="Y12" s="1732"/>
      <c r="Z12" s="1732"/>
      <c r="AA12" s="1734" t="s">
        <v>1470</v>
      </c>
      <c r="AB12" s="1735"/>
    </row>
    <row r="13" spans="1:33" ht="48" hidden="1" customHeight="1">
      <c r="A13" s="1718"/>
      <c r="B13" s="1718"/>
      <c r="C13" s="1718"/>
      <c r="D13" s="1736"/>
      <c r="E13" s="1737"/>
      <c r="F13" s="1738" t="s">
        <v>1475</v>
      </c>
      <c r="G13" s="1739" t="s">
        <v>1476</v>
      </c>
      <c r="H13" s="1740" t="s">
        <v>539</v>
      </c>
      <c r="I13" s="1740" t="s">
        <v>539</v>
      </c>
      <c r="J13" s="1739"/>
      <c r="K13" s="1740" t="s">
        <v>539</v>
      </c>
      <c r="L13" s="1741" t="s">
        <v>1477</v>
      </c>
      <c r="M13" s="1742">
        <f>70*3*60</f>
        <v>12600</v>
      </c>
      <c r="N13" s="1743"/>
      <c r="O13" s="1739"/>
      <c r="P13" s="1739"/>
      <c r="Q13" s="1744">
        <v>4200</v>
      </c>
      <c r="R13" s="1739"/>
      <c r="S13" s="1744"/>
      <c r="T13" s="1739">
        <v>4200</v>
      </c>
      <c r="U13" s="1739"/>
      <c r="V13" s="1744"/>
      <c r="W13" s="1744">
        <v>4200</v>
      </c>
      <c r="X13" s="1744"/>
      <c r="Y13" s="1744"/>
      <c r="Z13" s="1745"/>
      <c r="AA13" s="1746"/>
      <c r="AB13" s="1747"/>
    </row>
    <row r="14" spans="1:33" ht="105" hidden="1">
      <c r="A14" s="1748" t="s">
        <v>2253</v>
      </c>
      <c r="B14" s="1749" t="s">
        <v>2254</v>
      </c>
      <c r="C14" s="1749" t="s">
        <v>2255</v>
      </c>
      <c r="D14" s="1736"/>
      <c r="E14" s="1726" t="s">
        <v>1478</v>
      </c>
      <c r="F14" s="1750" t="s">
        <v>1479</v>
      </c>
      <c r="G14" s="1750" t="s">
        <v>2281</v>
      </c>
      <c r="H14" s="1751"/>
      <c r="I14" s="1727" t="s">
        <v>539</v>
      </c>
      <c r="J14" s="1727" t="s">
        <v>539</v>
      </c>
      <c r="K14" s="1751"/>
      <c r="L14" s="1752" t="s">
        <v>1480</v>
      </c>
      <c r="M14" s="1753">
        <f>25*2*25</f>
        <v>1250</v>
      </c>
      <c r="N14" s="1754"/>
      <c r="O14" s="1755"/>
      <c r="P14" s="1755"/>
      <c r="Q14" s="1756"/>
      <c r="R14" s="1757">
        <v>625</v>
      </c>
      <c r="S14" s="1756"/>
      <c r="T14" s="1757"/>
      <c r="U14" s="1755"/>
      <c r="V14" s="1757">
        <v>625</v>
      </c>
      <c r="W14" s="1756"/>
      <c r="X14" s="1756"/>
      <c r="Y14" s="1756"/>
      <c r="Z14" s="1757"/>
      <c r="AA14" s="1758"/>
      <c r="AB14" s="1723"/>
    </row>
    <row r="15" spans="1:33" ht="75" hidden="1">
      <c r="A15" s="1718"/>
      <c r="B15" s="1718"/>
      <c r="C15" s="1718"/>
      <c r="D15" s="1736"/>
      <c r="E15" s="1750" t="s">
        <v>1481</v>
      </c>
      <c r="F15" s="1750" t="s">
        <v>1482</v>
      </c>
      <c r="G15" s="1750" t="s">
        <v>1483</v>
      </c>
      <c r="H15" s="1751"/>
      <c r="I15" s="1727" t="s">
        <v>539</v>
      </c>
      <c r="J15" s="1751"/>
      <c r="K15" s="1751"/>
      <c r="L15" s="1759" t="s">
        <v>1484</v>
      </c>
      <c r="M15" s="1759">
        <v>0</v>
      </c>
      <c r="N15" s="1760"/>
      <c r="O15" s="1755"/>
      <c r="P15" s="1755"/>
      <c r="Q15" s="1756"/>
      <c r="R15" s="1755"/>
      <c r="S15" s="1756"/>
      <c r="T15" s="1761" t="s">
        <v>1484</v>
      </c>
      <c r="U15" s="1755"/>
      <c r="V15" s="1756"/>
      <c r="W15" s="1756"/>
      <c r="X15" s="1756"/>
      <c r="Y15" s="1756"/>
      <c r="Z15" s="1762"/>
      <c r="AA15" s="1723"/>
      <c r="AB15" s="1723"/>
    </row>
    <row r="16" spans="1:33" ht="45" hidden="1">
      <c r="A16" s="1718"/>
      <c r="B16" s="1718"/>
      <c r="C16" s="1718"/>
      <c r="D16" s="1763"/>
      <c r="E16" s="1764" t="s">
        <v>1485</v>
      </c>
      <c r="F16" s="1752" t="s">
        <v>1486</v>
      </c>
      <c r="G16" s="1752" t="s">
        <v>1487</v>
      </c>
      <c r="H16" s="1751"/>
      <c r="I16" s="1751"/>
      <c r="J16" s="1765" t="s">
        <v>539</v>
      </c>
      <c r="K16" s="1765" t="s">
        <v>539</v>
      </c>
      <c r="L16" s="1752" t="s">
        <v>1488</v>
      </c>
      <c r="M16" s="1766">
        <f>120*25*6</f>
        <v>18000</v>
      </c>
      <c r="N16" s="1754"/>
      <c r="O16" s="1755"/>
      <c r="P16" s="1755"/>
      <c r="Q16" s="1756"/>
      <c r="R16" s="1755"/>
      <c r="S16" s="1756"/>
      <c r="T16" s="1755"/>
      <c r="U16" s="1755"/>
      <c r="V16" s="1756">
        <v>6000</v>
      </c>
      <c r="W16" s="1756">
        <v>6000</v>
      </c>
      <c r="X16" s="1756">
        <v>6000</v>
      </c>
      <c r="Y16" s="1756"/>
      <c r="Z16" s="1767"/>
      <c r="AA16" s="1723"/>
      <c r="AB16" s="1723"/>
    </row>
    <row r="17" spans="1:28">
      <c r="A17" s="1967">
        <v>1</v>
      </c>
      <c r="B17" s="1968">
        <v>1</v>
      </c>
      <c r="C17" s="1968">
        <v>2</v>
      </c>
      <c r="D17" s="1968">
        <v>2</v>
      </c>
      <c r="E17" s="3590" t="s">
        <v>1489</v>
      </c>
      <c r="F17" s="3590"/>
      <c r="G17" s="3591"/>
      <c r="H17" s="1969"/>
      <c r="I17" s="1970"/>
      <c r="J17" s="1969" t="s">
        <v>978</v>
      </c>
      <c r="K17" s="1969" t="s">
        <v>978</v>
      </c>
      <c r="L17" s="1969"/>
      <c r="M17" s="1962"/>
      <c r="N17" s="1971">
        <f>SUM(M18:M24)</f>
        <v>7200</v>
      </c>
      <c r="O17" s="1962">
        <f>SUM(O18:O24)</f>
        <v>0</v>
      </c>
      <c r="P17" s="1962">
        <f t="shared" ref="P17:Z17" si="2">SUM(P18:P24)</f>
        <v>0</v>
      </c>
      <c r="Q17" s="1962">
        <f t="shared" si="2"/>
        <v>0</v>
      </c>
      <c r="R17" s="1962">
        <f t="shared" si="2"/>
        <v>0</v>
      </c>
      <c r="S17" s="1962">
        <f t="shared" si="2"/>
        <v>0</v>
      </c>
      <c r="T17" s="1962">
        <f t="shared" si="2"/>
        <v>0</v>
      </c>
      <c r="U17" s="1962">
        <f t="shared" si="2"/>
        <v>0</v>
      </c>
      <c r="V17" s="1962">
        <f t="shared" si="2"/>
        <v>0</v>
      </c>
      <c r="W17" s="1962">
        <f t="shared" si="2"/>
        <v>0</v>
      </c>
      <c r="X17" s="1962">
        <f t="shared" si="2"/>
        <v>0</v>
      </c>
      <c r="Y17" s="1962">
        <f t="shared" si="2"/>
        <v>7200</v>
      </c>
      <c r="Z17" s="1962">
        <f t="shared" si="2"/>
        <v>0</v>
      </c>
      <c r="AA17" s="1969" t="s">
        <v>2212</v>
      </c>
      <c r="AB17" s="1966" t="s">
        <v>280</v>
      </c>
    </row>
    <row r="18" spans="1:28" ht="45" hidden="1">
      <c r="A18" s="1718"/>
      <c r="B18" s="1718"/>
      <c r="C18" s="1718"/>
      <c r="D18" s="1769"/>
      <c r="E18" s="1770" t="s">
        <v>1491</v>
      </c>
      <c r="F18" s="1771" t="s">
        <v>1492</v>
      </c>
      <c r="G18" s="1771" t="s">
        <v>1493</v>
      </c>
      <c r="H18" s="1755" t="s">
        <v>721</v>
      </c>
      <c r="I18" s="1755" t="s">
        <v>978</v>
      </c>
      <c r="J18" s="1755" t="s">
        <v>978</v>
      </c>
      <c r="K18" s="1755" t="s">
        <v>978</v>
      </c>
      <c r="L18" s="1772"/>
      <c r="M18" s="1757"/>
      <c r="N18" s="1754"/>
      <c r="O18" s="1757"/>
      <c r="P18" s="1757"/>
      <c r="Q18" s="1757"/>
      <c r="R18" s="1755" t="s">
        <v>978</v>
      </c>
      <c r="S18" s="1757"/>
      <c r="T18" s="1757"/>
      <c r="U18" s="1757"/>
      <c r="V18" s="1757"/>
      <c r="W18" s="1757"/>
      <c r="X18" s="1757"/>
      <c r="Y18" s="1757"/>
      <c r="Z18" s="1757"/>
      <c r="AA18" s="1758" t="s">
        <v>1490</v>
      </c>
      <c r="AB18" s="1723"/>
    </row>
    <row r="19" spans="1:28" ht="72.900000000000006" customHeight="1">
      <c r="A19" s="1718"/>
      <c r="B19" s="1718"/>
      <c r="C19" s="1718"/>
      <c r="D19" s="1773"/>
      <c r="E19" s="1770"/>
      <c r="F19" s="1771"/>
      <c r="G19" s="1771"/>
      <c r="H19" s="1755"/>
      <c r="I19" s="1755"/>
      <c r="J19" s="1755"/>
      <c r="K19" s="1755"/>
      <c r="L19" s="1772"/>
      <c r="M19" s="1757"/>
      <c r="N19" s="1754"/>
      <c r="O19" s="1757"/>
      <c r="P19" s="1757"/>
      <c r="Q19" s="1757"/>
      <c r="R19" s="1755"/>
      <c r="S19" s="1757"/>
      <c r="T19" s="1757"/>
      <c r="U19" s="1757"/>
      <c r="V19" s="1757"/>
      <c r="W19" s="1757"/>
      <c r="X19" s="1757"/>
      <c r="Y19" s="1757"/>
      <c r="Z19" s="1757"/>
      <c r="AA19" s="1758"/>
      <c r="AB19" s="1723"/>
    </row>
    <row r="20" spans="1:28" ht="90">
      <c r="A20" s="1718"/>
      <c r="B20" s="1718"/>
      <c r="C20" s="1718"/>
      <c r="D20" s="1773"/>
      <c r="E20" s="1774" t="s">
        <v>1494</v>
      </c>
      <c r="F20" s="1775" t="s">
        <v>1495</v>
      </c>
      <c r="G20" s="1775" t="s">
        <v>1496</v>
      </c>
      <c r="H20" s="1755" t="s">
        <v>978</v>
      </c>
      <c r="I20" s="1755" t="s">
        <v>721</v>
      </c>
      <c r="J20" s="1755" t="s">
        <v>721</v>
      </c>
      <c r="K20" s="1755" t="s">
        <v>721</v>
      </c>
      <c r="L20" s="1752" t="s">
        <v>1497</v>
      </c>
      <c r="M20" s="1757"/>
      <c r="N20" s="1754"/>
      <c r="O20" s="1757"/>
      <c r="P20" s="1757"/>
      <c r="Q20" s="1755" t="s">
        <v>978</v>
      </c>
      <c r="R20" s="1755"/>
      <c r="S20" s="1755"/>
      <c r="T20" s="1755"/>
      <c r="U20" s="1757"/>
      <c r="V20" s="1757"/>
      <c r="W20" s="1755"/>
      <c r="X20" s="1755"/>
      <c r="Y20" s="1755"/>
      <c r="Z20" s="1755" t="s">
        <v>978</v>
      </c>
      <c r="AA20" s="1758"/>
      <c r="AB20" s="1723"/>
    </row>
    <row r="21" spans="1:28" ht="135">
      <c r="A21" s="1718"/>
      <c r="B21" s="1718"/>
      <c r="C21" s="1718"/>
      <c r="D21" s="1773"/>
      <c r="E21" s="1774" t="s">
        <v>1498</v>
      </c>
      <c r="F21" s="1752" t="s">
        <v>1499</v>
      </c>
      <c r="G21" s="1771" t="s">
        <v>1500</v>
      </c>
      <c r="H21" s="1755"/>
      <c r="I21" s="1755" t="s">
        <v>721</v>
      </c>
      <c r="J21" s="1755" t="s">
        <v>721</v>
      </c>
      <c r="K21" s="1755" t="s">
        <v>721</v>
      </c>
      <c r="L21" s="1776"/>
      <c r="M21" s="1721"/>
      <c r="N21" s="1754"/>
      <c r="O21" s="1757"/>
      <c r="P21" s="1757"/>
      <c r="Q21" s="1757"/>
      <c r="R21" s="1757"/>
      <c r="S21" s="1757"/>
      <c r="T21" s="1755"/>
      <c r="U21" s="1757"/>
      <c r="V21" s="1755"/>
      <c r="W21" s="1755"/>
      <c r="X21" s="1755"/>
      <c r="Y21" s="1755"/>
      <c r="Z21" s="1755"/>
      <c r="AA21" s="1758"/>
      <c r="AB21" s="1723"/>
    </row>
    <row r="22" spans="1:28" ht="85.3" customHeight="1">
      <c r="A22" s="1718"/>
      <c r="B22" s="1718"/>
      <c r="C22" s="1718"/>
      <c r="D22" s="1777"/>
      <c r="E22" s="1778" t="s">
        <v>1501</v>
      </c>
      <c r="F22" s="1779" t="s">
        <v>1502</v>
      </c>
      <c r="G22" s="1771" t="s">
        <v>1503</v>
      </c>
      <c r="H22" s="1723"/>
      <c r="I22" s="1723"/>
      <c r="J22" s="1755" t="s">
        <v>978</v>
      </c>
      <c r="K22" s="1755" t="s">
        <v>721</v>
      </c>
      <c r="L22" s="1772"/>
      <c r="M22" s="1780"/>
      <c r="N22" s="1762"/>
      <c r="O22" s="1762"/>
      <c r="P22" s="1762"/>
      <c r="Q22" s="1781"/>
      <c r="R22" s="1762"/>
      <c r="S22" s="1762"/>
      <c r="T22" s="1762"/>
      <c r="U22" s="1762"/>
      <c r="V22" s="1755" t="s">
        <v>978</v>
      </c>
      <c r="W22" s="1755" t="s">
        <v>978</v>
      </c>
      <c r="X22" s="1780"/>
      <c r="Y22" s="1780" t="s">
        <v>978</v>
      </c>
      <c r="Z22" s="1755" t="s">
        <v>978</v>
      </c>
      <c r="AA22" s="1723"/>
      <c r="AB22" s="1723"/>
    </row>
    <row r="23" spans="1:28" ht="48" customHeight="1">
      <c r="A23" s="1718"/>
      <c r="B23" s="1718"/>
      <c r="C23" s="1718"/>
      <c r="D23" s="1777"/>
      <c r="E23" s="1782"/>
      <c r="F23" s="1782"/>
      <c r="G23" s="1783" t="s">
        <v>1504</v>
      </c>
      <c r="H23" s="1723"/>
      <c r="I23" s="1723"/>
      <c r="J23" s="1755"/>
      <c r="K23" s="1755"/>
      <c r="L23" s="1776"/>
      <c r="M23" s="1784"/>
      <c r="N23" s="1762"/>
      <c r="O23" s="1762"/>
      <c r="P23" s="1762"/>
      <c r="Q23" s="1781"/>
      <c r="R23" s="1762"/>
      <c r="S23" s="1762"/>
      <c r="T23" s="1762"/>
      <c r="U23" s="1762"/>
      <c r="V23" s="1755"/>
      <c r="W23" s="1755"/>
      <c r="X23" s="1780"/>
      <c r="Y23" s="1780"/>
      <c r="Z23" s="1755"/>
      <c r="AA23" s="1723"/>
      <c r="AB23" s="1723"/>
    </row>
    <row r="24" spans="1:28" ht="69.45" customHeight="1">
      <c r="A24" s="1718"/>
      <c r="B24" s="1718"/>
      <c r="C24" s="1718"/>
      <c r="D24" s="1777"/>
      <c r="E24" s="1782"/>
      <c r="F24" s="1782"/>
      <c r="G24" s="1783" t="s">
        <v>1504</v>
      </c>
      <c r="H24" s="1723"/>
      <c r="I24" s="1723"/>
      <c r="J24" s="1755"/>
      <c r="K24" s="1755"/>
      <c r="L24" s="1785" t="s">
        <v>1505</v>
      </c>
      <c r="M24" s="1784">
        <f>600*4*3</f>
        <v>7200</v>
      </c>
      <c r="N24" s="1762"/>
      <c r="O24" s="1762"/>
      <c r="P24" s="1762"/>
      <c r="Q24" s="1781"/>
      <c r="R24" s="1762"/>
      <c r="S24" s="1762"/>
      <c r="T24" s="1762"/>
      <c r="U24" s="1762"/>
      <c r="V24" s="1755"/>
      <c r="W24" s="1755"/>
      <c r="X24" s="1780"/>
      <c r="Y24" s="1780">
        <v>7200</v>
      </c>
      <c r="Z24" s="1755"/>
      <c r="AA24" s="1723"/>
      <c r="AB24" s="1723"/>
    </row>
    <row r="25" spans="1:28" ht="32.6" customHeight="1">
      <c r="A25" s="1967">
        <v>1</v>
      </c>
      <c r="B25" s="1968">
        <v>1</v>
      </c>
      <c r="C25" s="1968">
        <v>2</v>
      </c>
      <c r="D25" s="1968">
        <v>3</v>
      </c>
      <c r="E25" s="3592" t="s">
        <v>1506</v>
      </c>
      <c r="F25" s="3592"/>
      <c r="G25" s="3572"/>
      <c r="H25" s="1969"/>
      <c r="I25" s="1966"/>
      <c r="J25" s="1966"/>
      <c r="K25" s="1969"/>
      <c r="L25" s="1972"/>
      <c r="M25" s="1973" t="s">
        <v>978</v>
      </c>
      <c r="N25" s="1973">
        <f>SUM(M26:M31)</f>
        <v>9600</v>
      </c>
      <c r="O25" s="1971">
        <f>SUM(O26:O31)</f>
        <v>0</v>
      </c>
      <c r="P25" s="1971">
        <f t="shared" ref="P25:Z25" si="3">SUM(P26:P31)</f>
        <v>0</v>
      </c>
      <c r="Q25" s="1971">
        <f t="shared" si="3"/>
        <v>0</v>
      </c>
      <c r="R25" s="1971">
        <f t="shared" si="3"/>
        <v>2400</v>
      </c>
      <c r="S25" s="1971">
        <f t="shared" si="3"/>
        <v>0</v>
      </c>
      <c r="T25" s="1971">
        <f t="shared" si="3"/>
        <v>0</v>
      </c>
      <c r="U25" s="1971">
        <f t="shared" si="3"/>
        <v>0</v>
      </c>
      <c r="V25" s="1971">
        <f t="shared" si="3"/>
        <v>0</v>
      </c>
      <c r="W25" s="1971">
        <f t="shared" si="3"/>
        <v>0</v>
      </c>
      <c r="X25" s="1971">
        <f t="shared" si="3"/>
        <v>0</v>
      </c>
      <c r="Y25" s="1971">
        <f t="shared" si="3"/>
        <v>0</v>
      </c>
      <c r="Z25" s="1971">
        <f t="shared" si="3"/>
        <v>7200</v>
      </c>
      <c r="AA25" s="1969" t="s">
        <v>2212</v>
      </c>
      <c r="AB25" s="1966" t="s">
        <v>280</v>
      </c>
    </row>
    <row r="26" spans="1:28" ht="128.6" customHeight="1">
      <c r="A26" s="1718"/>
      <c r="B26" s="1718"/>
      <c r="C26" s="1718"/>
      <c r="D26" s="1769"/>
      <c r="E26" s="1778" t="s">
        <v>1507</v>
      </c>
      <c r="F26" s="1779" t="s">
        <v>1508</v>
      </c>
      <c r="G26" s="1771" t="s">
        <v>1509</v>
      </c>
      <c r="H26" s="1755"/>
      <c r="I26" s="1755" t="s">
        <v>721</v>
      </c>
      <c r="J26" s="1723"/>
      <c r="K26" s="1755"/>
      <c r="L26" s="1772"/>
      <c r="M26" s="1742"/>
      <c r="N26" s="1762"/>
      <c r="O26" s="1767"/>
      <c r="P26" s="1767"/>
      <c r="Q26" s="1767"/>
      <c r="R26" s="1780"/>
      <c r="S26" s="1767"/>
      <c r="T26" s="1767"/>
      <c r="U26" s="1767"/>
      <c r="V26" s="1767"/>
      <c r="W26" s="1767"/>
      <c r="X26" s="1755"/>
      <c r="Y26" s="1755"/>
      <c r="Z26" s="1755"/>
      <c r="AA26" s="1723" t="s">
        <v>1490</v>
      </c>
      <c r="AB26" s="1723"/>
    </row>
    <row r="27" spans="1:28">
      <c r="A27" s="1718"/>
      <c r="B27" s="1718"/>
      <c r="C27" s="1718"/>
      <c r="D27" s="1773"/>
      <c r="E27" s="1778"/>
      <c r="F27" s="1779"/>
      <c r="G27" s="1771" t="s">
        <v>1510</v>
      </c>
      <c r="H27" s="1755"/>
      <c r="I27" s="1755"/>
      <c r="J27" s="1723"/>
      <c r="K27" s="1755"/>
      <c r="L27" s="1772"/>
      <c r="M27" s="1742"/>
      <c r="N27" s="1762"/>
      <c r="O27" s="1767"/>
      <c r="P27" s="1767"/>
      <c r="Q27" s="1767"/>
      <c r="R27" s="1780"/>
      <c r="S27" s="1767"/>
      <c r="T27" s="1767"/>
      <c r="U27" s="1767"/>
      <c r="V27" s="1767"/>
      <c r="W27" s="1767"/>
      <c r="X27" s="1755"/>
      <c r="Y27" s="1755"/>
      <c r="Z27" s="1755"/>
      <c r="AA27" s="1723"/>
      <c r="AB27" s="1723"/>
    </row>
    <row r="28" spans="1:28" ht="45">
      <c r="A28" s="1718"/>
      <c r="B28" s="1718"/>
      <c r="C28" s="1718"/>
      <c r="D28" s="1773"/>
      <c r="E28" s="1778"/>
      <c r="F28" s="1779"/>
      <c r="G28" s="1771"/>
      <c r="H28" s="1755"/>
      <c r="I28" s="1755"/>
      <c r="J28" s="1723"/>
      <c r="K28" s="1755"/>
      <c r="L28" s="1752" t="s">
        <v>1511</v>
      </c>
      <c r="M28" s="1780">
        <f>600*2*2</f>
        <v>2400</v>
      </c>
      <c r="N28" s="1762"/>
      <c r="O28" s="1767"/>
      <c r="P28" s="1767"/>
      <c r="Q28" s="1767"/>
      <c r="R28" s="1780">
        <v>2400</v>
      </c>
      <c r="S28" s="1767"/>
      <c r="T28" s="1767"/>
      <c r="U28" s="1767"/>
      <c r="V28" s="1767"/>
      <c r="W28" s="1767"/>
      <c r="X28" s="1755"/>
      <c r="Y28" s="1755"/>
      <c r="Z28" s="1755"/>
      <c r="AA28" s="1723"/>
      <c r="AB28" s="1723"/>
    </row>
    <row r="29" spans="1:28" ht="90">
      <c r="A29" s="1718"/>
      <c r="B29" s="1718"/>
      <c r="C29" s="1718"/>
      <c r="D29" s="1777"/>
      <c r="E29" s="1774" t="s">
        <v>1512</v>
      </c>
      <c r="F29" s="1779" t="s">
        <v>1513</v>
      </c>
      <c r="G29" s="1786" t="s">
        <v>1514</v>
      </c>
      <c r="H29" s="1755"/>
      <c r="I29" s="1755"/>
      <c r="J29" s="1755"/>
      <c r="K29" s="1755" t="s">
        <v>721</v>
      </c>
      <c r="L29" s="1772"/>
      <c r="M29" s="1742"/>
      <c r="N29" s="1762"/>
      <c r="O29" s="1767"/>
      <c r="P29" s="1767"/>
      <c r="Q29" s="1767"/>
      <c r="R29" s="1767"/>
      <c r="S29" s="1767"/>
      <c r="T29" s="1767"/>
      <c r="U29" s="1767"/>
      <c r="V29" s="1767"/>
      <c r="W29" s="1767"/>
      <c r="X29" s="1767"/>
      <c r="Y29" s="1767"/>
      <c r="Z29" s="1781"/>
      <c r="AA29" s="1723"/>
      <c r="AB29" s="1723"/>
    </row>
    <row r="30" spans="1:28">
      <c r="A30" s="1718"/>
      <c r="B30" s="1718"/>
      <c r="C30" s="1718"/>
      <c r="D30" s="1777"/>
      <c r="E30" s="1787"/>
      <c r="F30" s="1782"/>
      <c r="G30" s="1788" t="s">
        <v>1510</v>
      </c>
      <c r="H30" s="1755"/>
      <c r="I30" s="1755"/>
      <c r="J30" s="1755"/>
      <c r="K30" s="1755"/>
      <c r="L30" s="1772"/>
      <c r="M30" s="1742"/>
      <c r="N30" s="1762"/>
      <c r="O30" s="1767"/>
      <c r="P30" s="1767"/>
      <c r="Q30" s="1767"/>
      <c r="R30" s="1767"/>
      <c r="S30" s="1767"/>
      <c r="T30" s="1767"/>
      <c r="U30" s="1767"/>
      <c r="V30" s="1767"/>
      <c r="W30" s="1767"/>
      <c r="X30" s="1767"/>
      <c r="Y30" s="1767"/>
      <c r="Z30" s="1781"/>
      <c r="AA30" s="1723"/>
      <c r="AB30" s="1723"/>
    </row>
    <row r="31" spans="1:28" ht="30">
      <c r="A31" s="1718"/>
      <c r="B31" s="1718"/>
      <c r="C31" s="1718"/>
      <c r="D31" s="1777"/>
      <c r="E31" s="1787"/>
      <c r="F31" s="1782"/>
      <c r="G31" s="1788" t="s">
        <v>1510</v>
      </c>
      <c r="H31" s="1755"/>
      <c r="I31" s="1755"/>
      <c r="J31" s="1755"/>
      <c r="K31" s="1755"/>
      <c r="L31" s="1785" t="s">
        <v>1515</v>
      </c>
      <c r="M31" s="1784">
        <f>600*4*3</f>
        <v>7200</v>
      </c>
      <c r="N31" s="1762"/>
      <c r="O31" s="1767"/>
      <c r="P31" s="1767"/>
      <c r="Q31" s="1767"/>
      <c r="R31" s="1767"/>
      <c r="S31" s="1767"/>
      <c r="T31" s="1767"/>
      <c r="U31" s="1767"/>
      <c r="V31" s="1767"/>
      <c r="W31" s="1767"/>
      <c r="X31" s="1767"/>
      <c r="Y31" s="1767"/>
      <c r="Z31" s="1781">
        <v>7200</v>
      </c>
      <c r="AA31" s="1723"/>
      <c r="AB31" s="1723"/>
    </row>
    <row r="32" spans="1:28">
      <c r="A32" s="1967">
        <v>1</v>
      </c>
      <c r="B32" s="1968">
        <v>1</v>
      </c>
      <c r="C32" s="1968">
        <v>2</v>
      </c>
      <c r="D32" s="1968">
        <v>4</v>
      </c>
      <c r="E32" s="3590" t="s">
        <v>1516</v>
      </c>
      <c r="F32" s="3590"/>
      <c r="G32" s="3591"/>
      <c r="H32" s="1974"/>
      <c r="I32" s="1974"/>
      <c r="J32" s="1974"/>
      <c r="K32" s="1974"/>
      <c r="L32" s="1966"/>
      <c r="M32" s="1975"/>
      <c r="N32" s="1975">
        <f>SUM(M33:M40)</f>
        <v>0</v>
      </c>
      <c r="O32" s="1971">
        <f>SUM(O33:O41)</f>
        <v>0</v>
      </c>
      <c r="P32" s="1971">
        <f t="shared" ref="P32:Z32" si="4">SUM(P33:P41)</f>
        <v>0</v>
      </c>
      <c r="Q32" s="1971">
        <f t="shared" si="4"/>
        <v>0</v>
      </c>
      <c r="R32" s="1971">
        <f t="shared" si="4"/>
        <v>0</v>
      </c>
      <c r="S32" s="1971">
        <f t="shared" si="4"/>
        <v>0</v>
      </c>
      <c r="T32" s="1971">
        <f t="shared" si="4"/>
        <v>0</v>
      </c>
      <c r="U32" s="1971">
        <f t="shared" si="4"/>
        <v>0</v>
      </c>
      <c r="V32" s="1971">
        <f t="shared" si="4"/>
        <v>0</v>
      </c>
      <c r="W32" s="1971">
        <f t="shared" si="4"/>
        <v>0</v>
      </c>
      <c r="X32" s="1971">
        <f t="shared" si="4"/>
        <v>0</v>
      </c>
      <c r="Y32" s="1971">
        <f t="shared" si="4"/>
        <v>0</v>
      </c>
      <c r="Z32" s="1971">
        <f t="shared" si="4"/>
        <v>0</v>
      </c>
      <c r="AA32" s="1966" t="s">
        <v>2212</v>
      </c>
      <c r="AB32" s="1966" t="s">
        <v>280</v>
      </c>
    </row>
    <row r="33" spans="1:28" ht="105">
      <c r="A33" s="1718"/>
      <c r="B33" s="1718"/>
      <c r="C33" s="1718"/>
      <c r="D33" s="1769"/>
      <c r="E33" s="1789" t="s">
        <v>1518</v>
      </c>
      <c r="F33" s="1790" t="s">
        <v>1519</v>
      </c>
      <c r="G33" s="1786" t="s">
        <v>1520</v>
      </c>
      <c r="H33" s="1755" t="s">
        <v>239</v>
      </c>
      <c r="I33" s="1755"/>
      <c r="J33" s="1755"/>
      <c r="K33" s="1755"/>
      <c r="L33" s="1752"/>
      <c r="M33" s="1742"/>
      <c r="N33" s="1754"/>
      <c r="O33" s="1757"/>
      <c r="P33" s="1757"/>
      <c r="Q33" s="1757"/>
      <c r="R33" s="1757"/>
      <c r="S33" s="1757"/>
      <c r="T33" s="1757"/>
      <c r="U33" s="1757"/>
      <c r="V33" s="1757"/>
      <c r="W33" s="1757"/>
      <c r="X33" s="1757"/>
      <c r="Y33" s="1757"/>
      <c r="Z33" s="1757"/>
      <c r="AA33" s="1755" t="s">
        <v>1517</v>
      </c>
      <c r="AB33" s="1723"/>
    </row>
    <row r="34" spans="1:28">
      <c r="A34" s="1718"/>
      <c r="B34" s="1718"/>
      <c r="C34" s="1718"/>
      <c r="D34" s="1773"/>
      <c r="E34" s="1789"/>
      <c r="F34" s="1790"/>
      <c r="G34" s="1786"/>
      <c r="H34" s="1755"/>
      <c r="I34" s="1755"/>
      <c r="J34" s="1755"/>
      <c r="K34" s="1755"/>
      <c r="L34" s="1752"/>
      <c r="M34" s="1742"/>
      <c r="N34" s="1754"/>
      <c r="O34" s="1757"/>
      <c r="P34" s="1757"/>
      <c r="Q34" s="1757"/>
      <c r="R34" s="1757"/>
      <c r="S34" s="1757"/>
      <c r="T34" s="1757"/>
      <c r="U34" s="1757"/>
      <c r="V34" s="1757"/>
      <c r="W34" s="1757"/>
      <c r="X34" s="1757"/>
      <c r="Y34" s="1757"/>
      <c r="Z34" s="1757"/>
      <c r="AA34" s="1755"/>
      <c r="AB34" s="1723"/>
    </row>
    <row r="35" spans="1:28">
      <c r="A35" s="1718"/>
      <c r="B35" s="1718"/>
      <c r="C35" s="1718"/>
      <c r="D35" s="1773"/>
      <c r="E35" s="1789"/>
      <c r="F35" s="1790"/>
      <c r="G35" s="1786"/>
      <c r="H35" s="1755"/>
      <c r="I35" s="1755"/>
      <c r="J35" s="1755"/>
      <c r="K35" s="1755"/>
      <c r="L35" s="1752"/>
      <c r="M35" s="1780"/>
      <c r="N35" s="1754"/>
      <c r="O35" s="1757"/>
      <c r="P35" s="1757"/>
      <c r="Q35" s="1757"/>
      <c r="R35" s="1757"/>
      <c r="S35" s="1757"/>
      <c r="T35" s="1757"/>
      <c r="U35" s="1757"/>
      <c r="V35" s="1757"/>
      <c r="W35" s="1757"/>
      <c r="X35" s="1757"/>
      <c r="Y35" s="1757"/>
      <c r="Z35" s="1757"/>
      <c r="AA35" s="1755"/>
      <c r="AB35" s="1723"/>
    </row>
    <row r="36" spans="1:28" ht="75">
      <c r="A36" s="1718"/>
      <c r="B36" s="1718"/>
      <c r="C36" s="1718"/>
      <c r="D36" s="1773"/>
      <c r="E36" s="1791" t="s">
        <v>1521</v>
      </c>
      <c r="F36" s="1752" t="s">
        <v>1522</v>
      </c>
      <c r="G36" s="1752" t="s">
        <v>1523</v>
      </c>
      <c r="H36" s="1755"/>
      <c r="I36" s="1755" t="s">
        <v>239</v>
      </c>
      <c r="J36" s="1755"/>
      <c r="K36" s="1755"/>
      <c r="L36" s="1776"/>
      <c r="M36" s="1792"/>
      <c r="N36" s="1754"/>
      <c r="O36" s="1757"/>
      <c r="P36" s="1757"/>
      <c r="Q36" s="1757"/>
      <c r="R36" s="1757"/>
      <c r="S36" s="1757"/>
      <c r="T36" s="1757"/>
      <c r="U36" s="1757"/>
      <c r="V36" s="1757"/>
      <c r="W36" s="1757"/>
      <c r="X36" s="1757"/>
      <c r="Y36" s="1757"/>
      <c r="Z36" s="1757"/>
      <c r="AA36" s="1755"/>
      <c r="AB36" s="1723"/>
    </row>
    <row r="37" spans="1:28" ht="105">
      <c r="A37" s="1718"/>
      <c r="B37" s="1718"/>
      <c r="C37" s="1718"/>
      <c r="D37" s="1773"/>
      <c r="E37" s="1789" t="s">
        <v>1524</v>
      </c>
      <c r="F37" s="1752" t="s">
        <v>1525</v>
      </c>
      <c r="G37" s="1752" t="s">
        <v>1526</v>
      </c>
      <c r="H37" s="1755"/>
      <c r="I37" s="1755"/>
      <c r="J37" s="1755"/>
      <c r="K37" s="1755" t="s">
        <v>239</v>
      </c>
      <c r="L37" s="1752"/>
      <c r="M37" s="1742"/>
      <c r="N37" s="1754"/>
      <c r="O37" s="1757"/>
      <c r="P37" s="1757"/>
      <c r="Q37" s="1757"/>
      <c r="R37" s="1757"/>
      <c r="S37" s="1757"/>
      <c r="T37" s="1757"/>
      <c r="U37" s="1757"/>
      <c r="V37" s="1757"/>
      <c r="W37" s="1757"/>
      <c r="X37" s="1757"/>
      <c r="Y37" s="1757"/>
      <c r="Z37" s="1757"/>
      <c r="AA37" s="1755"/>
      <c r="AB37" s="1723"/>
    </row>
    <row r="38" spans="1:28">
      <c r="A38" s="1718"/>
      <c r="B38" s="1718"/>
      <c r="C38" s="1718"/>
      <c r="D38" s="1773"/>
      <c r="E38" s="1789"/>
      <c r="F38" s="1752"/>
      <c r="G38" s="1752"/>
      <c r="H38" s="1755"/>
      <c r="I38" s="1755"/>
      <c r="J38" s="1755"/>
      <c r="K38" s="1755"/>
      <c r="L38" s="1752"/>
      <c r="M38" s="1742"/>
      <c r="N38" s="1754"/>
      <c r="O38" s="1757"/>
      <c r="P38" s="1757"/>
      <c r="Q38" s="1757"/>
      <c r="R38" s="1757"/>
      <c r="S38" s="1757"/>
      <c r="T38" s="1757"/>
      <c r="U38" s="1757"/>
      <c r="V38" s="1757"/>
      <c r="W38" s="1757"/>
      <c r="X38" s="1757"/>
      <c r="Y38" s="1757"/>
      <c r="Z38" s="1757"/>
      <c r="AA38" s="1755"/>
      <c r="AB38" s="1723"/>
    </row>
    <row r="39" spans="1:28">
      <c r="A39" s="1718"/>
      <c r="B39" s="1718"/>
      <c r="C39" s="1718"/>
      <c r="D39" s="1773"/>
      <c r="E39" s="1789"/>
      <c r="F39" s="1752"/>
      <c r="G39" s="1752"/>
      <c r="H39" s="1755"/>
      <c r="I39" s="1755"/>
      <c r="J39" s="1755"/>
      <c r="K39" s="1755"/>
      <c r="L39" s="1785"/>
      <c r="M39" s="1784"/>
      <c r="N39" s="1754"/>
      <c r="O39" s="1757"/>
      <c r="P39" s="1757"/>
      <c r="Q39" s="1757"/>
      <c r="R39" s="1757"/>
      <c r="S39" s="1757"/>
      <c r="T39" s="1757"/>
      <c r="U39" s="1757"/>
      <c r="V39" s="1757"/>
      <c r="W39" s="1757"/>
      <c r="X39" s="1757"/>
      <c r="Y39" s="1757"/>
      <c r="Z39" s="1757"/>
      <c r="AA39" s="1755"/>
      <c r="AB39" s="1723"/>
    </row>
    <row r="40" spans="1:28" ht="105">
      <c r="A40" s="1718"/>
      <c r="B40" s="1718"/>
      <c r="C40" s="1718"/>
      <c r="D40" s="1777"/>
      <c r="E40" s="1793" t="s">
        <v>1527</v>
      </c>
      <c r="F40" s="1794" t="s">
        <v>1528</v>
      </c>
      <c r="G40" s="1779" t="s">
        <v>1529</v>
      </c>
      <c r="H40" s="1723"/>
      <c r="I40" s="1795" t="s">
        <v>239</v>
      </c>
      <c r="J40" s="1795"/>
      <c r="K40" s="1795" t="s">
        <v>239</v>
      </c>
      <c r="L40" s="1771"/>
      <c r="M40" s="1721"/>
      <c r="N40" s="1754"/>
      <c r="O40" s="1762"/>
      <c r="P40" s="1762"/>
      <c r="Q40" s="1781"/>
      <c r="R40" s="1781"/>
      <c r="S40" s="1762"/>
      <c r="T40" s="1762"/>
      <c r="U40" s="1762"/>
      <c r="V40" s="1762"/>
      <c r="W40" s="1762"/>
      <c r="X40" s="1781"/>
      <c r="Y40" s="1762"/>
      <c r="Z40" s="1762"/>
      <c r="AA40" s="1755"/>
      <c r="AB40" s="1723"/>
    </row>
    <row r="41" spans="1:28" ht="31.3" customHeight="1">
      <c r="A41" s="1718"/>
      <c r="B41" s="1718"/>
      <c r="C41" s="1718"/>
      <c r="D41" s="1777"/>
      <c r="E41" s="1793"/>
      <c r="F41" s="1794"/>
      <c r="G41" s="1779"/>
      <c r="H41" s="1735"/>
      <c r="I41" s="1796"/>
      <c r="J41" s="1796"/>
      <c r="K41" s="1796"/>
      <c r="L41" s="1771"/>
      <c r="M41" s="1721"/>
      <c r="N41" s="1754"/>
      <c r="O41" s="1762"/>
      <c r="P41" s="1762"/>
      <c r="Q41" s="1781"/>
      <c r="R41" s="1781"/>
      <c r="S41" s="1762"/>
      <c r="T41" s="1762"/>
      <c r="U41" s="1762"/>
      <c r="V41" s="1762"/>
      <c r="W41" s="1762"/>
      <c r="X41" s="1781"/>
      <c r="Y41" s="1762"/>
      <c r="Z41" s="1762"/>
      <c r="AA41" s="1730"/>
      <c r="AB41" s="1735"/>
    </row>
    <row r="42" spans="1:28">
      <c r="A42" s="1967">
        <v>2</v>
      </c>
      <c r="B42" s="1968">
        <v>5</v>
      </c>
      <c r="C42" s="1968">
        <v>9</v>
      </c>
      <c r="D42" s="1968">
        <v>5</v>
      </c>
      <c r="E42" s="1976" t="s">
        <v>1530</v>
      </c>
      <c r="F42" s="1968"/>
      <c r="G42" s="1977"/>
      <c r="H42" s="1978"/>
      <c r="I42" s="1978"/>
      <c r="J42" s="1978"/>
      <c r="K42" s="1978"/>
      <c r="L42" s="1968"/>
      <c r="M42" s="1979"/>
      <c r="N42" s="1979">
        <f>SUM(M43:M45)</f>
        <v>20000</v>
      </c>
      <c r="O42" s="1979">
        <f>SUM(O43:O45)</f>
        <v>0</v>
      </c>
      <c r="P42" s="1979">
        <f t="shared" ref="P42:Z42" si="5">SUM(P43:P45)</f>
        <v>0</v>
      </c>
      <c r="Q42" s="1979">
        <f t="shared" si="5"/>
        <v>0</v>
      </c>
      <c r="R42" s="1979">
        <f t="shared" si="5"/>
        <v>0</v>
      </c>
      <c r="S42" s="1979">
        <f t="shared" si="5"/>
        <v>0</v>
      </c>
      <c r="T42" s="1979">
        <f t="shared" si="5"/>
        <v>0</v>
      </c>
      <c r="U42" s="1979">
        <f t="shared" si="5"/>
        <v>0</v>
      </c>
      <c r="V42" s="1979">
        <f t="shared" si="5"/>
        <v>0</v>
      </c>
      <c r="W42" s="1979">
        <f t="shared" si="5"/>
        <v>0</v>
      </c>
      <c r="X42" s="1979">
        <f t="shared" si="5"/>
        <v>0</v>
      </c>
      <c r="Y42" s="1979">
        <f t="shared" si="5"/>
        <v>0</v>
      </c>
      <c r="Z42" s="1979">
        <f t="shared" si="5"/>
        <v>20000</v>
      </c>
      <c r="AA42" s="1980" t="s">
        <v>2212</v>
      </c>
      <c r="AB42" s="1965" t="s">
        <v>1048</v>
      </c>
    </row>
    <row r="43" spans="1:28" ht="120">
      <c r="A43" s="1718"/>
      <c r="B43" s="1718"/>
      <c r="C43" s="1718"/>
      <c r="D43" s="1797"/>
      <c r="E43" s="1798" t="s">
        <v>1532</v>
      </c>
      <c r="F43" s="1794" t="s">
        <v>2270</v>
      </c>
      <c r="G43" s="1794" t="s">
        <v>1533</v>
      </c>
      <c r="H43" s="1799" t="s">
        <v>239</v>
      </c>
      <c r="I43" s="1799"/>
      <c r="J43" s="1799"/>
      <c r="K43" s="1799"/>
      <c r="L43" s="1800" t="s">
        <v>1534</v>
      </c>
      <c r="M43" s="1801">
        <f>120*1*40</f>
        <v>4800</v>
      </c>
      <c r="N43" s="1762"/>
      <c r="O43" s="1802"/>
      <c r="Q43" s="1803"/>
      <c r="R43" s="1802"/>
      <c r="S43" s="1802"/>
      <c r="T43" s="1802"/>
      <c r="U43" s="1802"/>
      <c r="V43" s="1802"/>
      <c r="W43" s="1802"/>
      <c r="X43" s="1802"/>
      <c r="Y43" s="1802"/>
      <c r="Z43" s="1803">
        <v>4800</v>
      </c>
      <c r="AA43" s="1804" t="s">
        <v>1531</v>
      </c>
      <c r="AB43" s="1805"/>
    </row>
    <row r="44" spans="1:28" ht="135">
      <c r="A44" s="1718"/>
      <c r="B44" s="1718"/>
      <c r="C44" s="1718"/>
      <c r="D44" s="1806"/>
      <c r="E44" s="1798" t="s">
        <v>1535</v>
      </c>
      <c r="F44" s="1794" t="s">
        <v>2271</v>
      </c>
      <c r="G44" s="1807" t="s">
        <v>1536</v>
      </c>
      <c r="H44" s="1808" t="s">
        <v>239</v>
      </c>
      <c r="I44" s="1808"/>
      <c r="J44" s="1808"/>
      <c r="K44" s="1808"/>
      <c r="L44" s="1800" t="s">
        <v>1537</v>
      </c>
      <c r="M44" s="1801">
        <f>70*1*160</f>
        <v>11200</v>
      </c>
      <c r="N44" s="1809"/>
      <c r="O44" s="1802"/>
      <c r="Q44" s="1803"/>
      <c r="R44" s="1802"/>
      <c r="S44" s="1802"/>
      <c r="T44" s="1802"/>
      <c r="U44" s="1802"/>
      <c r="V44" s="1802"/>
      <c r="W44" s="1802"/>
      <c r="X44" s="1802"/>
      <c r="Y44" s="1802"/>
      <c r="Z44" s="1803">
        <v>11200</v>
      </c>
      <c r="AA44" s="1748"/>
      <c r="AB44" s="1749"/>
    </row>
    <row r="45" spans="1:28" ht="56.15" customHeight="1">
      <c r="A45" s="1718"/>
      <c r="B45" s="1718"/>
      <c r="C45" s="1718"/>
      <c r="D45" s="1806"/>
      <c r="E45" s="1810"/>
      <c r="F45" s="1811"/>
      <c r="G45" s="1812"/>
      <c r="H45" s="1813"/>
      <c r="I45" s="1813"/>
      <c r="J45" s="1813"/>
      <c r="K45" s="1814"/>
      <c r="L45" s="1800" t="s">
        <v>2272</v>
      </c>
      <c r="M45" s="1801">
        <f>25*160*1</f>
        <v>4000</v>
      </c>
      <c r="N45" s="1809"/>
      <c r="O45" s="1802"/>
      <c r="Q45" s="1803"/>
      <c r="R45" s="1802"/>
      <c r="S45" s="1802"/>
      <c r="T45" s="1802"/>
      <c r="U45" s="1802"/>
      <c r="V45" s="1802"/>
      <c r="W45" s="1802"/>
      <c r="X45" s="1802"/>
      <c r="Y45" s="1802"/>
      <c r="Z45" s="1803">
        <v>4000</v>
      </c>
      <c r="AA45" s="1815"/>
      <c r="AB45" s="1816"/>
    </row>
    <row r="46" spans="1:28">
      <c r="A46" s="1967">
        <v>2</v>
      </c>
      <c r="B46" s="1968">
        <v>5</v>
      </c>
      <c r="C46" s="1968">
        <v>9</v>
      </c>
      <c r="D46" s="1968">
        <v>6</v>
      </c>
      <c r="E46" s="1981" t="s">
        <v>1538</v>
      </c>
      <c r="F46" s="1982"/>
      <c r="G46" s="1982"/>
      <c r="H46" s="1983"/>
      <c r="I46" s="1983"/>
      <c r="J46" s="1983"/>
      <c r="K46" s="1984"/>
      <c r="L46" s="1968"/>
      <c r="M46" s="1979"/>
      <c r="N46" s="1979">
        <f>SUM(M47:M47)</f>
        <v>12000</v>
      </c>
      <c r="O46" s="1979">
        <f t="shared" ref="O46:Z46" si="6">SUM(O47:O47)</f>
        <v>0</v>
      </c>
      <c r="P46" s="1979">
        <f t="shared" si="6"/>
        <v>6000</v>
      </c>
      <c r="Q46" s="1979">
        <f t="shared" si="6"/>
        <v>6000</v>
      </c>
      <c r="R46" s="1979">
        <f t="shared" si="6"/>
        <v>0</v>
      </c>
      <c r="S46" s="1979">
        <f t="shared" si="6"/>
        <v>0</v>
      </c>
      <c r="T46" s="1979">
        <f t="shared" si="6"/>
        <v>0</v>
      </c>
      <c r="U46" s="1979">
        <f t="shared" si="6"/>
        <v>0</v>
      </c>
      <c r="V46" s="1979">
        <f t="shared" si="6"/>
        <v>0</v>
      </c>
      <c r="W46" s="1979">
        <f t="shared" si="6"/>
        <v>0</v>
      </c>
      <c r="X46" s="1979">
        <f t="shared" si="6"/>
        <v>0</v>
      </c>
      <c r="Y46" s="1979">
        <f t="shared" si="6"/>
        <v>0</v>
      </c>
      <c r="Z46" s="1979">
        <f t="shared" si="6"/>
        <v>0</v>
      </c>
      <c r="AA46" s="1980" t="s">
        <v>2212</v>
      </c>
      <c r="AB46" s="1965" t="s">
        <v>1048</v>
      </c>
    </row>
    <row r="47" spans="1:28" ht="75">
      <c r="A47" s="1718"/>
      <c r="B47" s="1718"/>
      <c r="C47" s="1718"/>
      <c r="D47" s="1817"/>
      <c r="E47" s="1818" t="s">
        <v>1539</v>
      </c>
      <c r="F47" s="1790" t="s">
        <v>1540</v>
      </c>
      <c r="G47" s="1819" t="s">
        <v>1541</v>
      </c>
      <c r="H47" s="1748" t="s">
        <v>239</v>
      </c>
      <c r="I47" s="1748"/>
      <c r="J47" s="1748"/>
      <c r="K47" s="1748"/>
      <c r="L47" s="1800" t="s">
        <v>2268</v>
      </c>
      <c r="M47" s="1801">
        <f>25*120*4</f>
        <v>12000</v>
      </c>
      <c r="N47" s="1820"/>
      <c r="O47" s="1802"/>
      <c r="P47" s="1801">
        <f>25*120*2</f>
        <v>6000</v>
      </c>
      <c r="Q47" s="1801">
        <f>25*120*2</f>
        <v>6000</v>
      </c>
      <c r="R47" s="1802"/>
      <c r="S47" s="1802"/>
      <c r="T47" s="1802"/>
      <c r="U47" s="1802"/>
      <c r="V47" s="1802"/>
      <c r="W47" s="1802"/>
      <c r="X47" s="1802"/>
      <c r="Y47" s="1802"/>
      <c r="Z47" s="1802"/>
      <c r="AA47" s="1804" t="s">
        <v>1531</v>
      </c>
      <c r="AB47" s="1749"/>
    </row>
    <row r="48" spans="1:28">
      <c r="A48" s="1967">
        <v>2</v>
      </c>
      <c r="B48" s="1968">
        <v>5</v>
      </c>
      <c r="C48" s="1968">
        <v>9</v>
      </c>
      <c r="D48" s="1968">
        <v>7</v>
      </c>
      <c r="E48" s="1976" t="s">
        <v>1542</v>
      </c>
      <c r="F48" s="1968"/>
      <c r="G48" s="1977"/>
      <c r="H48" s="1978"/>
      <c r="I48" s="1978"/>
      <c r="J48" s="1978"/>
      <c r="K48" s="1978"/>
      <c r="L48" s="1968"/>
      <c r="M48" s="1979"/>
      <c r="N48" s="1979">
        <f>SUM(M49:M51)</f>
        <v>31200</v>
      </c>
      <c r="O48" s="1979">
        <f>SUM(O49:O51)</f>
        <v>0</v>
      </c>
      <c r="P48" s="1979">
        <f>SUM(P49:P51)</f>
        <v>0</v>
      </c>
      <c r="Q48" s="1979">
        <f t="shared" ref="Q48:Z48" si="7">SUM(Q49:Q51)</f>
        <v>24000</v>
      </c>
      <c r="R48" s="1979">
        <f t="shared" si="7"/>
        <v>3600</v>
      </c>
      <c r="S48" s="1979">
        <f t="shared" si="7"/>
        <v>3600</v>
      </c>
      <c r="T48" s="1979">
        <f t="shared" si="7"/>
        <v>0</v>
      </c>
      <c r="U48" s="1979">
        <f t="shared" si="7"/>
        <v>0</v>
      </c>
      <c r="V48" s="1979">
        <f t="shared" si="7"/>
        <v>0</v>
      </c>
      <c r="W48" s="1979">
        <f t="shared" si="7"/>
        <v>0</v>
      </c>
      <c r="X48" s="1979">
        <f t="shared" si="7"/>
        <v>0</v>
      </c>
      <c r="Y48" s="1979">
        <f t="shared" si="7"/>
        <v>0</v>
      </c>
      <c r="Z48" s="1979">
        <f t="shared" si="7"/>
        <v>0</v>
      </c>
      <c r="AA48" s="1980" t="s">
        <v>2212</v>
      </c>
      <c r="AB48" s="1965" t="s">
        <v>1048</v>
      </c>
    </row>
    <row r="49" spans="1:28" ht="182.6" customHeight="1">
      <c r="A49" s="1718"/>
      <c r="B49" s="1718"/>
      <c r="C49" s="1718"/>
      <c r="D49" s="1821"/>
      <c r="E49" s="1790" t="s">
        <v>1543</v>
      </c>
      <c r="F49" s="1790" t="s">
        <v>1544</v>
      </c>
      <c r="G49" s="1790" t="s">
        <v>2269</v>
      </c>
      <c r="H49" s="1822"/>
      <c r="I49" s="1779" t="s">
        <v>239</v>
      </c>
      <c r="J49" s="1822"/>
      <c r="K49" s="1822"/>
      <c r="L49" s="1823" t="s">
        <v>1545</v>
      </c>
      <c r="M49" s="1824">
        <f>120*120</f>
        <v>14400</v>
      </c>
      <c r="N49" s="1762"/>
      <c r="O49" s="1802"/>
      <c r="P49" s="1802"/>
      <c r="Q49" s="1825">
        <v>14400</v>
      </c>
      <c r="R49" s="1801"/>
      <c r="S49" s="1802"/>
      <c r="T49" s="1802"/>
      <c r="U49" s="1802"/>
      <c r="V49" s="1802"/>
      <c r="W49" s="1802"/>
      <c r="X49" s="1802"/>
      <c r="Y49" s="1802"/>
      <c r="Z49" s="1802"/>
      <c r="AA49" s="1804" t="s">
        <v>1531</v>
      </c>
      <c r="AB49" s="1805"/>
    </row>
    <row r="50" spans="1:28" ht="60.45" customHeight="1">
      <c r="A50" s="1718"/>
      <c r="B50" s="1718"/>
      <c r="C50" s="1718"/>
      <c r="D50" s="1826"/>
      <c r="E50" s="1827"/>
      <c r="F50" s="1827"/>
      <c r="G50" s="1771" t="s">
        <v>2274</v>
      </c>
      <c r="H50" s="1827"/>
      <c r="I50" s="1827"/>
      <c r="J50" s="1827"/>
      <c r="K50" s="1827"/>
      <c r="L50" s="1828" t="s">
        <v>2273</v>
      </c>
      <c r="M50" s="1829">
        <f>120*30*3</f>
        <v>10800</v>
      </c>
      <c r="N50" s="1830"/>
      <c r="O50" s="1802"/>
      <c r="P50" s="1802"/>
      <c r="Q50" s="2040">
        <v>3600</v>
      </c>
      <c r="R50" s="2041">
        <v>3600</v>
      </c>
      <c r="S50" s="1748">
        <v>3600</v>
      </c>
      <c r="T50" s="1802"/>
      <c r="U50" s="1802"/>
      <c r="V50" s="1802"/>
      <c r="W50" s="1802"/>
      <c r="X50" s="1802"/>
      <c r="Y50" s="1802"/>
      <c r="Z50" s="1802"/>
      <c r="AA50" s="1748"/>
      <c r="AB50" s="1749"/>
    </row>
    <row r="51" spans="1:28" ht="52.75" customHeight="1">
      <c r="A51" s="1718"/>
      <c r="B51" s="1718"/>
      <c r="C51" s="1718"/>
      <c r="D51" s="1826"/>
      <c r="E51" s="1827"/>
      <c r="F51" s="1827"/>
      <c r="G51" s="1771" t="s">
        <v>1546</v>
      </c>
      <c r="H51" s="1827"/>
      <c r="I51" s="1827"/>
      <c r="J51" s="1827"/>
      <c r="K51" s="1827"/>
      <c r="L51" s="1828" t="s">
        <v>1547</v>
      </c>
      <c r="M51" s="1829">
        <f>50*120</f>
        <v>6000</v>
      </c>
      <c r="N51" s="1830"/>
      <c r="O51" s="1802"/>
      <c r="P51" s="1802"/>
      <c r="Q51" s="1825">
        <v>6000</v>
      </c>
      <c r="R51" s="1801"/>
      <c r="S51" s="1802"/>
      <c r="T51" s="1802"/>
      <c r="U51" s="1802"/>
      <c r="V51" s="1802"/>
      <c r="W51" s="1802"/>
      <c r="X51" s="1802"/>
      <c r="Y51" s="1802"/>
      <c r="Z51" s="1802"/>
      <c r="AA51" s="1748"/>
      <c r="AB51" s="1749"/>
    </row>
    <row r="52" spans="1:28">
      <c r="A52" s="1967">
        <v>2</v>
      </c>
      <c r="B52" s="1968">
        <v>5</v>
      </c>
      <c r="C52" s="1968">
        <v>9</v>
      </c>
      <c r="D52" s="1968">
        <v>8</v>
      </c>
      <c r="E52" s="1976" t="s">
        <v>1548</v>
      </c>
      <c r="F52" s="1968"/>
      <c r="G52" s="1977"/>
      <c r="H52" s="1978"/>
      <c r="I52" s="1978"/>
      <c r="J52" s="1978"/>
      <c r="K52" s="1978"/>
      <c r="L52" s="1968"/>
      <c r="M52" s="1979"/>
      <c r="N52" s="1979">
        <f>SUM(M53)</f>
        <v>7200</v>
      </c>
      <c r="O52" s="1979">
        <f t="shared" ref="O52:Z52" si="8">SUM(O53)</f>
        <v>0</v>
      </c>
      <c r="P52" s="1979">
        <f t="shared" si="8"/>
        <v>0</v>
      </c>
      <c r="Q52" s="1979">
        <f t="shared" si="8"/>
        <v>0</v>
      </c>
      <c r="R52" s="1979">
        <f t="shared" si="8"/>
        <v>3600</v>
      </c>
      <c r="S52" s="1979"/>
      <c r="T52" s="1979">
        <f t="shared" si="8"/>
        <v>0</v>
      </c>
      <c r="U52" s="1979">
        <f t="shared" si="8"/>
        <v>0</v>
      </c>
      <c r="V52" s="1979">
        <f t="shared" si="8"/>
        <v>3600</v>
      </c>
      <c r="W52" s="1979"/>
      <c r="X52" s="1979">
        <f t="shared" si="8"/>
        <v>0</v>
      </c>
      <c r="Y52" s="1979"/>
      <c r="Z52" s="1979">
        <f t="shared" si="8"/>
        <v>0</v>
      </c>
      <c r="AA52" s="1985" t="s">
        <v>2212</v>
      </c>
      <c r="AB52" s="1965" t="s">
        <v>1048</v>
      </c>
    </row>
    <row r="53" spans="1:28" ht="60">
      <c r="A53" s="1718"/>
      <c r="B53" s="1718"/>
      <c r="C53" s="1718"/>
      <c r="D53" s="1831"/>
      <c r="E53" s="1771" t="s">
        <v>1549</v>
      </c>
      <c r="F53" s="1771" t="s">
        <v>1550</v>
      </c>
      <c r="G53" s="1771" t="s">
        <v>1551</v>
      </c>
      <c r="H53" s="1808" t="s">
        <v>239</v>
      </c>
      <c r="I53" s="1808" t="s">
        <v>239</v>
      </c>
      <c r="J53" s="1808" t="s">
        <v>239</v>
      </c>
      <c r="K53" s="1808" t="s">
        <v>239</v>
      </c>
      <c r="L53" s="1800" t="s">
        <v>1552</v>
      </c>
      <c r="M53" s="1801">
        <v>7200</v>
      </c>
      <c r="N53" s="1832"/>
      <c r="O53" s="1801">
        <v>0</v>
      </c>
      <c r="P53" s="1801" t="s">
        <v>978</v>
      </c>
      <c r="Q53" s="1801"/>
      <c r="R53" s="1801">
        <v>3600</v>
      </c>
      <c r="S53" s="1801"/>
      <c r="T53" s="1801"/>
      <c r="U53" s="1801">
        <v>0</v>
      </c>
      <c r="V53" s="1801">
        <v>3600</v>
      </c>
      <c r="W53" s="1801"/>
      <c r="X53" s="1801"/>
      <c r="Y53" s="1801"/>
      <c r="Z53" s="1801"/>
      <c r="AA53" s="1804" t="s">
        <v>1531</v>
      </c>
      <c r="AB53" s="1805" t="s">
        <v>978</v>
      </c>
    </row>
    <row r="54" spans="1:28">
      <c r="A54" s="1967">
        <v>2</v>
      </c>
      <c r="B54" s="1968">
        <v>5</v>
      </c>
      <c r="C54" s="1968">
        <v>9</v>
      </c>
      <c r="D54" s="1968">
        <v>9</v>
      </c>
      <c r="E54" s="1986" t="s">
        <v>1553</v>
      </c>
      <c r="F54" s="1965"/>
      <c r="G54" s="1977"/>
      <c r="H54" s="1978"/>
      <c r="I54" s="1978"/>
      <c r="J54" s="1978"/>
      <c r="K54" s="1978"/>
      <c r="L54" s="1987"/>
      <c r="M54" s="1979"/>
      <c r="N54" s="1979">
        <f>SUM(M55:M57)</f>
        <v>1920</v>
      </c>
      <c r="O54" s="1979">
        <f t="shared" ref="O54:Z54" si="9">SUM(O55:O57)</f>
        <v>0</v>
      </c>
      <c r="P54" s="1979">
        <f t="shared" si="9"/>
        <v>0</v>
      </c>
      <c r="Q54" s="1979">
        <f t="shared" si="9"/>
        <v>0</v>
      </c>
      <c r="R54" s="1979">
        <f t="shared" si="9"/>
        <v>0</v>
      </c>
      <c r="S54" s="1979">
        <f t="shared" si="9"/>
        <v>0</v>
      </c>
      <c r="T54" s="1979">
        <f t="shared" si="9"/>
        <v>1920</v>
      </c>
      <c r="U54" s="1979">
        <f t="shared" si="9"/>
        <v>0</v>
      </c>
      <c r="V54" s="1979">
        <f t="shared" si="9"/>
        <v>0</v>
      </c>
      <c r="W54" s="1979">
        <f t="shared" si="9"/>
        <v>0</v>
      </c>
      <c r="X54" s="1979">
        <f t="shared" si="9"/>
        <v>0</v>
      </c>
      <c r="Y54" s="1979">
        <f t="shared" si="9"/>
        <v>0</v>
      </c>
      <c r="Z54" s="1979">
        <f t="shared" si="9"/>
        <v>0</v>
      </c>
      <c r="AA54" s="1985" t="s">
        <v>2212</v>
      </c>
      <c r="AB54" s="1965" t="s">
        <v>1048</v>
      </c>
    </row>
    <row r="55" spans="1:28" ht="185.15" customHeight="1">
      <c r="A55" s="1718"/>
      <c r="B55" s="1718"/>
      <c r="C55" s="1718"/>
      <c r="D55" s="1833"/>
      <c r="E55" s="1798" t="s">
        <v>1554</v>
      </c>
      <c r="F55" s="1794"/>
      <c r="G55" s="1800" t="s">
        <v>1555</v>
      </c>
      <c r="H55" s="1802" t="s">
        <v>239</v>
      </c>
      <c r="I55" s="1802"/>
      <c r="J55" s="1802"/>
      <c r="K55" s="1802"/>
      <c r="L55" s="1800" t="s">
        <v>2275</v>
      </c>
      <c r="M55" s="1824"/>
      <c r="N55" s="1824"/>
      <c r="O55" s="1802"/>
      <c r="P55" s="1802"/>
      <c r="Q55" s="1803"/>
      <c r="R55" s="1801"/>
      <c r="S55" s="1802"/>
      <c r="T55" s="1802"/>
      <c r="U55" s="1802"/>
      <c r="V55" s="1802"/>
      <c r="W55" s="1802"/>
      <c r="X55" s="1802"/>
      <c r="Y55" s="1802"/>
      <c r="Z55" s="1802"/>
      <c r="AA55" s="1804" t="s">
        <v>1531</v>
      </c>
      <c r="AB55" s="1749"/>
    </row>
    <row r="56" spans="1:28" ht="120">
      <c r="A56" s="1718"/>
      <c r="B56" s="1718"/>
      <c r="C56" s="1718"/>
      <c r="D56" s="1837"/>
      <c r="E56" s="1835" t="s">
        <v>1556</v>
      </c>
      <c r="F56" s="1836" t="s">
        <v>1557</v>
      </c>
      <c r="G56" s="1800" t="s">
        <v>1558</v>
      </c>
      <c r="H56" s="1802"/>
      <c r="I56" s="1802" t="s">
        <v>239</v>
      </c>
      <c r="J56" s="1802"/>
      <c r="K56" s="1802"/>
      <c r="L56" s="1800" t="s">
        <v>1559</v>
      </c>
      <c r="M56" s="1781">
        <f>4*120*4</f>
        <v>1920</v>
      </c>
      <c r="N56" s="1781"/>
      <c r="O56" s="1825"/>
      <c r="P56" s="1825"/>
      <c r="Q56" s="1825"/>
      <c r="R56" s="1825"/>
      <c r="S56" s="1825"/>
      <c r="T56" s="1828">
        <v>1920</v>
      </c>
      <c r="U56" s="1825"/>
      <c r="V56" s="1828">
        <v>0</v>
      </c>
      <c r="W56" s="1825"/>
      <c r="X56" s="1825"/>
      <c r="Y56" s="1825"/>
      <c r="Z56" s="1825"/>
      <c r="AA56" s="1804"/>
      <c r="AB56" s="1805"/>
    </row>
    <row r="57" spans="1:28" ht="180">
      <c r="A57" s="1718"/>
      <c r="B57" s="1718"/>
      <c r="C57" s="1718"/>
      <c r="D57" s="1838"/>
      <c r="E57" s="1819" t="s">
        <v>1560</v>
      </c>
      <c r="F57" s="1779" t="s">
        <v>1561</v>
      </c>
      <c r="G57" s="1771" t="s">
        <v>1562</v>
      </c>
      <c r="H57" s="1802"/>
      <c r="I57" s="1839" t="s">
        <v>239</v>
      </c>
      <c r="J57" s="1802"/>
      <c r="K57" s="1839" t="s">
        <v>239</v>
      </c>
      <c r="L57" s="1800"/>
      <c r="M57" s="1781"/>
      <c r="N57" s="1762"/>
      <c r="O57" s="1825"/>
      <c r="P57" s="1825"/>
      <c r="Q57" s="1825"/>
      <c r="R57" s="1825"/>
      <c r="S57" s="1825"/>
      <c r="T57" s="1825"/>
      <c r="U57" s="1825"/>
      <c r="V57" s="1825"/>
      <c r="W57" s="1828"/>
      <c r="X57" s="1825"/>
      <c r="Y57" s="1825"/>
      <c r="Z57" s="1825"/>
      <c r="AA57" s="1840"/>
      <c r="AB57" s="1840"/>
    </row>
    <row r="58" spans="1:28" ht="30">
      <c r="A58" s="1967">
        <v>2</v>
      </c>
      <c r="B58" s="1968">
        <v>5</v>
      </c>
      <c r="C58" s="1968">
        <v>9</v>
      </c>
      <c r="D58" s="1968">
        <v>10</v>
      </c>
      <c r="E58" s="1976" t="s">
        <v>1563</v>
      </c>
      <c r="F58" s="1968"/>
      <c r="G58" s="1977"/>
      <c r="H58" s="1978"/>
      <c r="I58" s="1978"/>
      <c r="J58" s="1978"/>
      <c r="K58" s="1978"/>
      <c r="L58" s="1968"/>
      <c r="M58" s="1979"/>
      <c r="N58" s="1979">
        <f>SUM(M59:M60)</f>
        <v>0</v>
      </c>
      <c r="O58" s="1979">
        <f t="shared" ref="O58" si="10">SUM(O59:O60)</f>
        <v>0</v>
      </c>
      <c r="P58" s="1979">
        <f>SUM(P59:P60)</f>
        <v>0</v>
      </c>
      <c r="Q58" s="1979">
        <f t="shared" ref="Q58:Z58" si="11">SUM(Q59:Q60)</f>
        <v>0</v>
      </c>
      <c r="R58" s="1979">
        <f t="shared" si="11"/>
        <v>0</v>
      </c>
      <c r="S58" s="1979">
        <f t="shared" si="11"/>
        <v>0</v>
      </c>
      <c r="T58" s="1979">
        <f t="shared" si="11"/>
        <v>0</v>
      </c>
      <c r="U58" s="1979">
        <f t="shared" si="11"/>
        <v>0</v>
      </c>
      <c r="V58" s="1979">
        <f t="shared" si="11"/>
        <v>0</v>
      </c>
      <c r="W58" s="1979">
        <f t="shared" si="11"/>
        <v>0</v>
      </c>
      <c r="X58" s="1979">
        <f t="shared" si="11"/>
        <v>0</v>
      </c>
      <c r="Y58" s="1979">
        <f t="shared" si="11"/>
        <v>0</v>
      </c>
      <c r="Z58" s="1979">
        <f t="shared" si="11"/>
        <v>0</v>
      </c>
      <c r="AA58" s="1980" t="s">
        <v>1531</v>
      </c>
      <c r="AB58" s="1965"/>
    </row>
    <row r="59" spans="1:28" ht="105">
      <c r="A59" s="1718"/>
      <c r="B59" s="1718"/>
      <c r="C59" s="1718"/>
      <c r="D59" s="1841"/>
      <c r="E59" s="1779" t="s">
        <v>1564</v>
      </c>
      <c r="F59" s="1771" t="s">
        <v>1565</v>
      </c>
      <c r="G59" s="1779" t="s">
        <v>1566</v>
      </c>
      <c r="H59" s="1795" t="s">
        <v>239</v>
      </c>
      <c r="I59" s="1795" t="s">
        <v>239</v>
      </c>
      <c r="J59" s="1795" t="s">
        <v>239</v>
      </c>
      <c r="K59" s="1808" t="s">
        <v>239</v>
      </c>
      <c r="L59" s="1771"/>
      <c r="M59" s="1825"/>
      <c r="N59" s="1825"/>
      <c r="O59" s="1825"/>
      <c r="P59" s="1825"/>
      <c r="Q59" s="1825"/>
      <c r="R59" s="1825"/>
      <c r="S59" s="1825"/>
      <c r="T59" s="1825"/>
      <c r="U59" s="1825"/>
      <c r="V59" s="1825"/>
      <c r="W59" s="1825"/>
      <c r="X59" s="1825"/>
      <c r="Y59" s="1825"/>
      <c r="Z59" s="1825"/>
      <c r="AA59" s="1840"/>
      <c r="AB59" s="1840"/>
    </row>
    <row r="60" spans="1:28" ht="120">
      <c r="A60" s="1718"/>
      <c r="B60" s="1718"/>
      <c r="C60" s="1718"/>
      <c r="D60" s="1842"/>
      <c r="E60" s="1771" t="s">
        <v>1567</v>
      </c>
      <c r="F60" s="1771" t="s">
        <v>1568</v>
      </c>
      <c r="G60" s="1779" t="s">
        <v>1569</v>
      </c>
      <c r="H60" s="1808"/>
      <c r="I60" s="1808"/>
      <c r="J60" s="1808" t="s">
        <v>239</v>
      </c>
      <c r="K60" s="1808"/>
      <c r="L60" s="1771" t="s">
        <v>1570</v>
      </c>
      <c r="M60" s="1767"/>
      <c r="N60" s="1843"/>
      <c r="O60" s="1832"/>
      <c r="P60" s="1832"/>
      <c r="Q60" s="1828"/>
      <c r="R60" s="1828"/>
      <c r="S60" s="1828"/>
      <c r="T60" s="1828"/>
      <c r="U60" s="1828"/>
      <c r="V60" s="1828"/>
      <c r="W60" s="1828"/>
      <c r="X60" s="1828"/>
      <c r="Y60" s="1828"/>
      <c r="Z60" s="1828"/>
      <c r="AA60" s="1771"/>
      <c r="AB60" s="1840"/>
    </row>
    <row r="61" spans="1:28">
      <c r="A61" s="1967">
        <v>2</v>
      </c>
      <c r="B61" s="1968">
        <v>5</v>
      </c>
      <c r="C61" s="1968">
        <v>9</v>
      </c>
      <c r="D61" s="1968">
        <v>11</v>
      </c>
      <c r="E61" s="1976" t="s">
        <v>1571</v>
      </c>
      <c r="F61" s="1968"/>
      <c r="G61" s="1977"/>
      <c r="H61" s="1978"/>
      <c r="I61" s="1978"/>
      <c r="J61" s="1978"/>
      <c r="K61" s="1978"/>
      <c r="L61" s="1968"/>
      <c r="M61" s="1979"/>
      <c r="N61" s="1979">
        <f>SUM(M62)</f>
        <v>0</v>
      </c>
      <c r="O61" s="1979"/>
      <c r="P61" s="1979"/>
      <c r="Q61" s="1979">
        <f t="shared" ref="Q61:Z61" si="12">SUM(Q62)</f>
        <v>0</v>
      </c>
      <c r="R61" s="1979">
        <f t="shared" si="12"/>
        <v>0</v>
      </c>
      <c r="S61" s="1979">
        <f t="shared" si="12"/>
        <v>0</v>
      </c>
      <c r="T61" s="1979"/>
      <c r="U61" s="1979">
        <f t="shared" si="12"/>
        <v>0</v>
      </c>
      <c r="V61" s="1979">
        <f t="shared" si="12"/>
        <v>0</v>
      </c>
      <c r="W61" s="1979">
        <f t="shared" si="12"/>
        <v>0</v>
      </c>
      <c r="X61" s="1979">
        <f t="shared" si="12"/>
        <v>0</v>
      </c>
      <c r="Y61" s="1979">
        <f t="shared" si="12"/>
        <v>0</v>
      </c>
      <c r="Z61" s="1979">
        <f t="shared" si="12"/>
        <v>0</v>
      </c>
      <c r="AA61" s="1980"/>
      <c r="AB61" s="1965"/>
    </row>
    <row r="62" spans="1:28" ht="105">
      <c r="A62" s="1718"/>
      <c r="B62" s="1718"/>
      <c r="C62" s="1718"/>
      <c r="D62" s="1843"/>
      <c r="E62" s="1779" t="s">
        <v>1572</v>
      </c>
      <c r="F62" s="1779" t="s">
        <v>1573</v>
      </c>
      <c r="G62" s="1779" t="s">
        <v>1574</v>
      </c>
      <c r="H62" s="1808" t="s">
        <v>239</v>
      </c>
      <c r="I62" s="1808" t="s">
        <v>239</v>
      </c>
      <c r="J62" s="1808" t="s">
        <v>239</v>
      </c>
      <c r="K62" s="1808" t="s">
        <v>239</v>
      </c>
      <c r="L62" s="1794" t="s">
        <v>1575</v>
      </c>
      <c r="M62" s="1824"/>
      <c r="N62" s="1809"/>
      <c r="O62" s="1801"/>
      <c r="P62" s="1801"/>
      <c r="Q62" s="1801"/>
      <c r="R62" s="1801"/>
      <c r="S62" s="1801"/>
      <c r="T62" s="1801"/>
      <c r="U62" s="1801"/>
      <c r="V62" s="1801"/>
      <c r="W62" s="1801"/>
      <c r="X62" s="1801"/>
      <c r="Y62" s="1801"/>
      <c r="Z62" s="1801"/>
      <c r="AA62" s="1804" t="s">
        <v>1531</v>
      </c>
      <c r="AB62" s="1805" t="s">
        <v>978</v>
      </c>
    </row>
    <row r="63" spans="1:28">
      <c r="A63" s="1967">
        <v>2</v>
      </c>
      <c r="B63" s="1968">
        <v>5</v>
      </c>
      <c r="C63" s="1968">
        <v>9</v>
      </c>
      <c r="D63" s="1968">
        <v>12</v>
      </c>
      <c r="E63" s="1986" t="s">
        <v>1576</v>
      </c>
      <c r="F63" s="1965"/>
      <c r="G63" s="1977"/>
      <c r="H63" s="1978"/>
      <c r="I63" s="1978"/>
      <c r="J63" s="1978"/>
      <c r="K63" s="1978"/>
      <c r="L63" s="1968"/>
      <c r="M63" s="1979"/>
      <c r="N63" s="1979">
        <f>SUM(M64:M66)</f>
        <v>0</v>
      </c>
      <c r="O63" s="1979">
        <f t="shared" ref="O63:Z63" si="13">SUM(O64:O66)</f>
        <v>0</v>
      </c>
      <c r="P63" s="1979">
        <f t="shared" si="13"/>
        <v>0</v>
      </c>
      <c r="Q63" s="1979">
        <f t="shared" si="13"/>
        <v>0</v>
      </c>
      <c r="R63" s="1979">
        <f t="shared" si="13"/>
        <v>0</v>
      </c>
      <c r="S63" s="1979">
        <f t="shared" si="13"/>
        <v>0</v>
      </c>
      <c r="T63" s="1979">
        <f t="shared" si="13"/>
        <v>0</v>
      </c>
      <c r="U63" s="1979">
        <f t="shared" si="13"/>
        <v>0</v>
      </c>
      <c r="V63" s="1979">
        <f t="shared" si="13"/>
        <v>0</v>
      </c>
      <c r="W63" s="1979">
        <f t="shared" si="13"/>
        <v>0</v>
      </c>
      <c r="X63" s="1979">
        <f t="shared" si="13"/>
        <v>0</v>
      </c>
      <c r="Y63" s="1979">
        <f t="shared" si="13"/>
        <v>0</v>
      </c>
      <c r="Z63" s="1979">
        <f t="shared" si="13"/>
        <v>0</v>
      </c>
      <c r="AA63" s="1980"/>
      <c r="AB63" s="1965"/>
    </row>
    <row r="64" spans="1:28" ht="90">
      <c r="A64" s="1718"/>
      <c r="B64" s="1718"/>
      <c r="C64" s="1718"/>
      <c r="D64" s="1833"/>
      <c r="E64" s="1798" t="s">
        <v>1577</v>
      </c>
      <c r="F64" s="1807" t="s">
        <v>1578</v>
      </c>
      <c r="G64" s="1800" t="s">
        <v>1579</v>
      </c>
      <c r="H64" s="1802" t="s">
        <v>239</v>
      </c>
      <c r="I64" s="1802"/>
      <c r="J64" s="1802"/>
      <c r="K64" s="1802"/>
      <c r="L64" s="1800"/>
      <c r="M64" s="1824"/>
      <c r="N64" s="1824"/>
      <c r="O64" s="1802"/>
      <c r="P64" s="1802"/>
      <c r="Q64" s="1803"/>
      <c r="R64" s="1801"/>
      <c r="S64" s="1802"/>
      <c r="T64" s="1802"/>
      <c r="U64" s="1802"/>
      <c r="V64" s="1802"/>
      <c r="W64" s="1802"/>
      <c r="X64" s="1802"/>
      <c r="Y64" s="1802"/>
      <c r="Z64" s="1802"/>
      <c r="AA64" s="1748" t="s">
        <v>1531</v>
      </c>
      <c r="AB64" s="1749"/>
    </row>
    <row r="65" spans="1:28" ht="93.9" customHeight="1">
      <c r="A65" s="1718"/>
      <c r="B65" s="1718"/>
      <c r="C65" s="1718"/>
      <c r="D65" s="1837"/>
      <c r="E65" s="1798" t="s">
        <v>1580</v>
      </c>
      <c r="F65" s="1836" t="s">
        <v>1581</v>
      </c>
      <c r="G65" s="1800" t="s">
        <v>1582</v>
      </c>
      <c r="H65" s="1802"/>
      <c r="I65" s="1802" t="s">
        <v>239</v>
      </c>
      <c r="J65" s="1802"/>
      <c r="K65" s="1802"/>
      <c r="L65" s="1800"/>
      <c r="M65" s="1781"/>
      <c r="N65" s="1781"/>
      <c r="O65" s="1825"/>
      <c r="P65" s="1825"/>
      <c r="Q65" s="1825"/>
      <c r="R65" s="1825"/>
      <c r="S65" s="1825"/>
      <c r="T65" s="1781"/>
      <c r="U65" s="1825"/>
      <c r="V65" s="1828"/>
      <c r="W65" s="1825"/>
      <c r="X65" s="1825"/>
      <c r="Y65" s="1825"/>
      <c r="Z65" s="1825"/>
      <c r="AA65" s="1804"/>
      <c r="AB65" s="1805"/>
    </row>
    <row r="66" spans="1:28" ht="90">
      <c r="A66" s="1718"/>
      <c r="B66" s="1718"/>
      <c r="C66" s="1718"/>
      <c r="D66" s="1838"/>
      <c r="E66" s="1779" t="s">
        <v>1583</v>
      </c>
      <c r="F66" s="1771" t="s">
        <v>1584</v>
      </c>
      <c r="G66" s="1771" t="s">
        <v>1585</v>
      </c>
      <c r="H66" s="1839"/>
      <c r="I66" s="1839" t="s">
        <v>239</v>
      </c>
      <c r="J66" s="1839" t="s">
        <v>239</v>
      </c>
      <c r="K66" s="1802"/>
      <c r="L66" s="1771"/>
      <c r="M66" s="1825"/>
      <c r="N66" s="1825"/>
      <c r="O66" s="1825"/>
      <c r="P66" s="1825"/>
      <c r="Q66" s="1825"/>
      <c r="R66" s="1825"/>
      <c r="S66" s="1825"/>
      <c r="T66" s="1825"/>
      <c r="U66" s="1825"/>
      <c r="V66" s="1825"/>
      <c r="W66" s="1828"/>
      <c r="X66" s="1825"/>
      <c r="Y66" s="1825"/>
      <c r="Z66" s="1825"/>
      <c r="AA66" s="1840"/>
      <c r="AB66" s="1840"/>
    </row>
    <row r="67" spans="1:28">
      <c r="A67" s="1967">
        <v>2</v>
      </c>
      <c r="B67" s="1968">
        <v>6</v>
      </c>
      <c r="C67" s="1968" t="s">
        <v>2256</v>
      </c>
      <c r="D67" s="1955">
        <v>13</v>
      </c>
      <c r="E67" s="1988" t="s">
        <v>1586</v>
      </c>
      <c r="F67" s="1989"/>
      <c r="G67" s="1989"/>
      <c r="H67" s="1990"/>
      <c r="I67" s="1990"/>
      <c r="J67" s="1990"/>
      <c r="K67" s="1990"/>
      <c r="L67" s="1989"/>
      <c r="M67" s="1975"/>
      <c r="N67" s="1991">
        <f>SUM(M68:M76)</f>
        <v>43500</v>
      </c>
      <c r="O67" s="1962">
        <f>SUM(O68:O76)</f>
        <v>0</v>
      </c>
      <c r="P67" s="1962">
        <f t="shared" ref="P67:Z67" si="14">SUM(P68:P76)</f>
        <v>0</v>
      </c>
      <c r="Q67" s="1962">
        <f t="shared" si="14"/>
        <v>3150</v>
      </c>
      <c r="R67" s="1962">
        <f t="shared" si="14"/>
        <v>1250</v>
      </c>
      <c r="S67" s="1962">
        <f t="shared" si="14"/>
        <v>1250</v>
      </c>
      <c r="T67" s="1962">
        <f t="shared" si="14"/>
        <v>6900</v>
      </c>
      <c r="U67" s="1962">
        <f t="shared" si="14"/>
        <v>7400</v>
      </c>
      <c r="V67" s="1962">
        <f t="shared" si="14"/>
        <v>0</v>
      </c>
      <c r="W67" s="1962">
        <f t="shared" si="14"/>
        <v>6900</v>
      </c>
      <c r="X67" s="1962">
        <f t="shared" si="14"/>
        <v>16650</v>
      </c>
      <c r="Y67" s="1962">
        <f t="shared" si="14"/>
        <v>0</v>
      </c>
      <c r="Z67" s="1962">
        <f t="shared" si="14"/>
        <v>0</v>
      </c>
      <c r="AA67" s="1992" t="s">
        <v>2212</v>
      </c>
      <c r="AB67" s="1992" t="s">
        <v>280</v>
      </c>
    </row>
    <row r="68" spans="1:28" ht="105">
      <c r="A68" s="1718"/>
      <c r="B68" s="1718"/>
      <c r="C68" s="1718"/>
      <c r="D68" s="1844"/>
      <c r="E68" s="1778" t="s">
        <v>1588</v>
      </c>
      <c r="F68" s="1794" t="s">
        <v>1589</v>
      </c>
      <c r="G68" s="1794" t="s">
        <v>1590</v>
      </c>
      <c r="H68" s="1779"/>
      <c r="I68" s="1779"/>
      <c r="J68" s="1779"/>
      <c r="K68" s="1779"/>
      <c r="L68" s="1794" t="s">
        <v>1591</v>
      </c>
      <c r="M68" s="1824">
        <f>25*2*20</f>
        <v>1000</v>
      </c>
      <c r="N68" s="1845"/>
      <c r="O68" s="1824"/>
      <c r="P68" s="1824"/>
      <c r="Q68" s="1824">
        <v>500</v>
      </c>
      <c r="R68" s="1824"/>
      <c r="S68" s="1824"/>
      <c r="T68" s="1824"/>
      <c r="U68" s="1824">
        <v>500</v>
      </c>
      <c r="V68" s="1824"/>
      <c r="W68" s="1824"/>
      <c r="X68" s="1824"/>
      <c r="Y68" s="1824"/>
      <c r="Z68" s="1824"/>
      <c r="AA68" s="1846" t="s">
        <v>1587</v>
      </c>
      <c r="AB68" s="1831"/>
    </row>
    <row r="69" spans="1:28" ht="30">
      <c r="A69" s="1718"/>
      <c r="B69" s="1718"/>
      <c r="C69" s="1718"/>
      <c r="D69" s="1847"/>
      <c r="E69" s="1778"/>
      <c r="F69" s="1794"/>
      <c r="G69" s="1794"/>
      <c r="H69" s="1779"/>
      <c r="I69" s="1779"/>
      <c r="J69" s="1779"/>
      <c r="K69" s="1779"/>
      <c r="L69" s="1794" t="s">
        <v>1592</v>
      </c>
      <c r="M69" s="1848">
        <f>70*1*20</f>
        <v>1400</v>
      </c>
      <c r="N69" s="1849"/>
      <c r="O69" s="1824"/>
      <c r="P69" s="1824"/>
      <c r="Q69" s="1824">
        <v>1400</v>
      </c>
      <c r="R69" s="1824"/>
      <c r="S69" s="1824"/>
      <c r="T69" s="1824"/>
      <c r="U69" s="1824"/>
      <c r="V69" s="1824"/>
      <c r="W69" s="1824"/>
      <c r="X69" s="1824"/>
      <c r="Y69" s="1824"/>
      <c r="Z69" s="1824"/>
      <c r="AA69" s="1846"/>
      <c r="AB69" s="1831"/>
    </row>
    <row r="70" spans="1:28" ht="105">
      <c r="A70" s="1718"/>
      <c r="B70" s="1718"/>
      <c r="C70" s="1718"/>
      <c r="D70" s="1847"/>
      <c r="E70" s="1850" t="s">
        <v>1593</v>
      </c>
      <c r="F70" s="1794" t="s">
        <v>1594</v>
      </c>
      <c r="G70" s="3593" t="s">
        <v>1595</v>
      </c>
      <c r="H70" s="1808"/>
      <c r="I70" s="1808"/>
      <c r="J70" s="1808"/>
      <c r="K70" s="1808"/>
      <c r="L70" s="1794" t="s">
        <v>1596</v>
      </c>
      <c r="M70" s="1851">
        <f>25*10*50</f>
        <v>12500</v>
      </c>
      <c r="N70" s="1849"/>
      <c r="O70" s="1824"/>
      <c r="P70" s="1824"/>
      <c r="Q70" s="1824">
        <v>1250</v>
      </c>
      <c r="R70" s="1824">
        <v>1250</v>
      </c>
      <c r="S70" s="1824">
        <v>1250</v>
      </c>
      <c r="T70" s="1824">
        <v>6900</v>
      </c>
      <c r="U70" s="1824">
        <v>6900</v>
      </c>
      <c r="V70" s="1824"/>
      <c r="W70" s="1824">
        <v>6900</v>
      </c>
      <c r="X70" s="1824">
        <v>3450</v>
      </c>
      <c r="Y70" s="1824"/>
      <c r="Z70" s="1824"/>
      <c r="AA70" s="1846"/>
      <c r="AB70" s="1831"/>
    </row>
    <row r="71" spans="1:28" ht="45">
      <c r="A71" s="1718"/>
      <c r="B71" s="1718"/>
      <c r="C71" s="1718"/>
      <c r="D71" s="1847"/>
      <c r="E71" s="1852"/>
      <c r="F71" s="1794" t="s">
        <v>1597</v>
      </c>
      <c r="G71" s="3564"/>
      <c r="H71" s="1808"/>
      <c r="I71" s="1808"/>
      <c r="J71" s="1808"/>
      <c r="K71" s="1808"/>
      <c r="L71" s="1794" t="s">
        <v>1598</v>
      </c>
      <c r="M71" s="1851">
        <f>70*2*50</f>
        <v>7000</v>
      </c>
      <c r="N71" s="1849"/>
      <c r="O71" s="1824"/>
      <c r="P71" s="1824"/>
      <c r="Q71" s="1824"/>
      <c r="R71" s="1824"/>
      <c r="S71" s="1824"/>
      <c r="T71" s="1824"/>
      <c r="U71" s="1824"/>
      <c r="V71" s="1824"/>
      <c r="W71" s="1824"/>
      <c r="X71" s="1824"/>
      <c r="Y71" s="1824"/>
      <c r="Z71" s="1824"/>
      <c r="AA71" s="1846"/>
      <c r="AB71" s="1831"/>
    </row>
    <row r="72" spans="1:28" ht="75">
      <c r="A72" s="1718"/>
      <c r="B72" s="1718"/>
      <c r="C72" s="1718"/>
      <c r="D72" s="1847"/>
      <c r="E72" s="1852"/>
      <c r="F72" s="1794" t="s">
        <v>1599</v>
      </c>
      <c r="G72" s="3564"/>
      <c r="H72" s="1808"/>
      <c r="I72" s="1808"/>
      <c r="J72" s="1808"/>
      <c r="K72" s="1808"/>
      <c r="L72" s="1794" t="s">
        <v>1600</v>
      </c>
      <c r="M72" s="1851">
        <f>600*7</f>
        <v>4200</v>
      </c>
      <c r="N72" s="1849"/>
      <c r="O72" s="1824"/>
      <c r="P72" s="1824"/>
      <c r="Q72" s="1824"/>
      <c r="R72" s="1824"/>
      <c r="S72" s="1824"/>
      <c r="T72" s="1824"/>
      <c r="U72" s="1824"/>
      <c r="V72" s="1824"/>
      <c r="W72" s="1824"/>
      <c r="X72" s="1824"/>
      <c r="Y72" s="1824"/>
      <c r="Z72" s="1824"/>
      <c r="AA72" s="1846"/>
      <c r="AB72" s="1831"/>
    </row>
    <row r="73" spans="1:28" ht="77.900000000000006" customHeight="1">
      <c r="A73" s="1718"/>
      <c r="B73" s="1718"/>
      <c r="C73" s="1718"/>
      <c r="D73" s="1847"/>
      <c r="E73" s="1852"/>
      <c r="F73" s="1794"/>
      <c r="G73" s="3565"/>
      <c r="H73" s="1808"/>
      <c r="I73" s="1808"/>
      <c r="J73" s="1808"/>
      <c r="K73" s="1808"/>
      <c r="L73" s="1794" t="s">
        <v>1601</v>
      </c>
      <c r="M73" s="1851">
        <f>300*7*2</f>
        <v>4200</v>
      </c>
      <c r="N73" s="1849"/>
      <c r="O73" s="1824"/>
      <c r="P73" s="1824"/>
      <c r="Q73" s="1824"/>
      <c r="R73" s="1824"/>
      <c r="S73" s="1824"/>
      <c r="T73" s="1824"/>
      <c r="U73" s="1824"/>
      <c r="V73" s="1824"/>
      <c r="W73" s="1824"/>
      <c r="X73" s="1824"/>
      <c r="Y73" s="1824"/>
      <c r="Z73" s="1824"/>
      <c r="AA73" s="1846"/>
      <c r="AB73" s="1831"/>
    </row>
    <row r="74" spans="1:28" ht="90">
      <c r="A74" s="1718"/>
      <c r="B74" s="1718"/>
      <c r="C74" s="1718"/>
      <c r="D74" s="1853"/>
      <c r="E74" s="3593" t="s">
        <v>1602</v>
      </c>
      <c r="F74" s="1794" t="s">
        <v>1603</v>
      </c>
      <c r="G74" s="1794" t="s">
        <v>1604</v>
      </c>
      <c r="H74" s="1779"/>
      <c r="I74" s="1779"/>
      <c r="J74" s="1808"/>
      <c r="K74" s="1808"/>
      <c r="L74" s="1794" t="s">
        <v>1605</v>
      </c>
      <c r="M74" s="1824">
        <f>25*2*50</f>
        <v>2500</v>
      </c>
      <c r="N74" s="1845"/>
      <c r="O74" s="1824"/>
      <c r="P74" s="1824"/>
      <c r="Q74" s="1824"/>
      <c r="R74" s="1854"/>
      <c r="S74" s="1824"/>
      <c r="T74" s="1824"/>
      <c r="U74" s="1824"/>
      <c r="V74" s="1824"/>
      <c r="W74" s="1824"/>
      <c r="X74" s="1824">
        <v>2500</v>
      </c>
      <c r="Y74" s="1824"/>
      <c r="Z74" s="1824"/>
      <c r="AA74" s="1846" t="s">
        <v>978</v>
      </c>
      <c r="AB74" s="1831"/>
    </row>
    <row r="75" spans="1:28" ht="45">
      <c r="A75" s="1718"/>
      <c r="B75" s="1718"/>
      <c r="C75" s="1718"/>
      <c r="D75" s="1853"/>
      <c r="E75" s="3564"/>
      <c r="F75" s="1794"/>
      <c r="G75" s="1794"/>
      <c r="H75" s="1779"/>
      <c r="I75" s="1779"/>
      <c r="J75" s="1808"/>
      <c r="K75" s="1808"/>
      <c r="L75" s="1794" t="s">
        <v>1606</v>
      </c>
      <c r="M75" s="1848">
        <f>70*1*50</f>
        <v>3500</v>
      </c>
      <c r="N75" s="1849"/>
      <c r="O75" s="1824"/>
      <c r="P75" s="1824"/>
      <c r="Q75" s="1824"/>
      <c r="R75" s="1854"/>
      <c r="S75" s="1848"/>
      <c r="T75" s="1824"/>
      <c r="U75" s="1824"/>
      <c r="V75" s="1824"/>
      <c r="W75" s="1848"/>
      <c r="X75" s="1824">
        <v>3500</v>
      </c>
      <c r="Y75" s="1824"/>
      <c r="Z75" s="1824"/>
      <c r="AA75" s="1846"/>
      <c r="AB75" s="1831"/>
    </row>
    <row r="76" spans="1:28" ht="30">
      <c r="A76" s="1718"/>
      <c r="B76" s="1718"/>
      <c r="C76" s="1718"/>
      <c r="D76" s="1853"/>
      <c r="E76" s="3565"/>
      <c r="F76" s="1794"/>
      <c r="G76" s="1794"/>
      <c r="H76" s="1779"/>
      <c r="I76" s="1779"/>
      <c r="J76" s="1808"/>
      <c r="K76" s="1808"/>
      <c r="L76" s="1794" t="s">
        <v>1607</v>
      </c>
      <c r="M76" s="1848">
        <f>600*4*3</f>
        <v>7200</v>
      </c>
      <c r="N76" s="1849"/>
      <c r="O76" s="1824"/>
      <c r="P76" s="1824"/>
      <c r="Q76" s="1824"/>
      <c r="R76" s="1854"/>
      <c r="S76" s="1848"/>
      <c r="T76" s="1824"/>
      <c r="U76" s="1824"/>
      <c r="V76" s="1824"/>
      <c r="W76" s="1848"/>
      <c r="X76" s="1824">
        <v>7200</v>
      </c>
      <c r="Y76" s="1824"/>
      <c r="Z76" s="1824"/>
      <c r="AA76" s="1846"/>
      <c r="AB76" s="1831"/>
    </row>
    <row r="77" spans="1:28">
      <c r="A77" s="1967">
        <v>2</v>
      </c>
      <c r="B77" s="1968">
        <v>6</v>
      </c>
      <c r="C77" s="1968">
        <v>17</v>
      </c>
      <c r="D77" s="1955">
        <v>14</v>
      </c>
      <c r="E77" s="1994" t="s">
        <v>1608</v>
      </c>
      <c r="F77" s="1989"/>
      <c r="G77" s="1989"/>
      <c r="H77" s="1990"/>
      <c r="I77" s="1990"/>
      <c r="J77" s="1985"/>
      <c r="K77" s="1985"/>
      <c r="L77" s="1989"/>
      <c r="M77" s="1995"/>
      <c r="N77" s="1996">
        <f>SUM(M78:M80)</f>
        <v>16800</v>
      </c>
      <c r="O77" s="1997">
        <f>SUM(O78:O80)</f>
        <v>0</v>
      </c>
      <c r="P77" s="1997">
        <f t="shared" ref="P77:Z77" si="15">SUM(P78:P80)</f>
        <v>0</v>
      </c>
      <c r="Q77" s="1997">
        <f t="shared" si="15"/>
        <v>0</v>
      </c>
      <c r="R77" s="1997">
        <f t="shared" si="15"/>
        <v>0</v>
      </c>
      <c r="S77" s="1997">
        <v>8400</v>
      </c>
      <c r="T77" s="1997">
        <f t="shared" si="15"/>
        <v>0</v>
      </c>
      <c r="U77" s="1997">
        <f t="shared" si="15"/>
        <v>0</v>
      </c>
      <c r="V77" s="1997">
        <f t="shared" si="15"/>
        <v>0</v>
      </c>
      <c r="W77" s="1997">
        <v>8400</v>
      </c>
      <c r="X77" s="1997">
        <f t="shared" si="15"/>
        <v>0</v>
      </c>
      <c r="Y77" s="1997">
        <f t="shared" si="15"/>
        <v>0</v>
      </c>
      <c r="Z77" s="1997">
        <f t="shared" si="15"/>
        <v>0</v>
      </c>
      <c r="AA77" s="1992" t="s">
        <v>2212</v>
      </c>
      <c r="AB77" s="1998" t="s">
        <v>280</v>
      </c>
    </row>
    <row r="78" spans="1:28" ht="135">
      <c r="A78" s="1718"/>
      <c r="B78" s="1718"/>
      <c r="C78" s="1718"/>
      <c r="D78" s="1844"/>
      <c r="E78" s="1855" t="s">
        <v>1609</v>
      </c>
      <c r="F78" s="1750" t="s">
        <v>1610</v>
      </c>
      <c r="G78" s="1750" t="s">
        <v>1611</v>
      </c>
      <c r="H78" s="1856"/>
      <c r="I78" s="1856"/>
      <c r="J78" s="1856"/>
      <c r="K78" s="1856"/>
      <c r="L78" s="1750" t="s">
        <v>1612</v>
      </c>
      <c r="M78" s="1848">
        <f>120*2*50</f>
        <v>12000</v>
      </c>
      <c r="N78" s="1849"/>
      <c r="O78" s="1848"/>
      <c r="P78" s="1848"/>
      <c r="Q78" s="1848"/>
      <c r="R78" s="1848"/>
      <c r="S78" s="1993" t="s">
        <v>2276</v>
      </c>
      <c r="T78" s="1993"/>
      <c r="U78" s="1993"/>
      <c r="V78" s="1993"/>
      <c r="W78" s="1993" t="s">
        <v>2276</v>
      </c>
      <c r="X78" s="1848"/>
      <c r="Y78" s="1848"/>
      <c r="Z78" s="1848"/>
      <c r="AA78" s="1857" t="s">
        <v>1587</v>
      </c>
      <c r="AB78" s="1833"/>
    </row>
    <row r="79" spans="1:28" ht="45">
      <c r="A79" s="1718"/>
      <c r="B79" s="1718"/>
      <c r="C79" s="1718"/>
      <c r="D79" s="1847"/>
      <c r="E79" s="1858"/>
      <c r="F79" s="1836"/>
      <c r="G79" s="1836"/>
      <c r="H79" s="1859"/>
      <c r="I79" s="1859"/>
      <c r="J79" s="1859"/>
      <c r="K79" s="1859"/>
      <c r="L79" s="1836" t="s">
        <v>1613</v>
      </c>
      <c r="M79" s="1860">
        <f>600*2*2*2</f>
        <v>4800</v>
      </c>
      <c r="N79" s="1861"/>
      <c r="O79" s="1860"/>
      <c r="P79" s="1860"/>
      <c r="Q79" s="1860"/>
      <c r="R79" s="1860"/>
      <c r="S79" s="1860">
        <v>2400</v>
      </c>
      <c r="T79" s="1860"/>
      <c r="U79" s="1860"/>
      <c r="V79" s="1860"/>
      <c r="W79" s="1860">
        <v>2400</v>
      </c>
      <c r="X79" s="1860"/>
      <c r="Y79" s="1860"/>
      <c r="Z79" s="1860"/>
      <c r="AA79" s="1862"/>
      <c r="AB79" s="1842"/>
    </row>
    <row r="80" spans="1:28" ht="84.9" customHeight="1">
      <c r="A80" s="1718"/>
      <c r="B80" s="1718"/>
      <c r="C80" s="1718"/>
      <c r="D80" s="1853"/>
      <c r="E80" s="1863" t="s">
        <v>1614</v>
      </c>
      <c r="F80" s="1836" t="s">
        <v>1615</v>
      </c>
      <c r="G80" s="1836" t="s">
        <v>1616</v>
      </c>
      <c r="H80" s="1779"/>
      <c r="I80" s="1779"/>
      <c r="J80" s="1808"/>
      <c r="K80" s="1808"/>
      <c r="L80" s="1794" t="s">
        <v>1617</v>
      </c>
      <c r="M80" s="1860"/>
      <c r="N80" s="1861"/>
      <c r="O80" s="1860"/>
      <c r="P80" s="1824"/>
      <c r="Q80" s="1824"/>
      <c r="R80" s="1854"/>
      <c r="S80" s="1824"/>
      <c r="T80" s="1824"/>
      <c r="U80" s="1824"/>
      <c r="V80" s="1824"/>
      <c r="W80" s="1824"/>
      <c r="X80" s="1824"/>
      <c r="Y80" s="1824"/>
      <c r="Z80" s="1824"/>
      <c r="AA80" s="1846"/>
      <c r="AB80" s="1831"/>
    </row>
    <row r="81" spans="1:28">
      <c r="A81" s="1967">
        <v>2</v>
      </c>
      <c r="B81" s="1968">
        <v>7</v>
      </c>
      <c r="C81" s="1968">
        <v>20</v>
      </c>
      <c r="D81" s="1955">
        <v>15</v>
      </c>
      <c r="E81" s="1988" t="s">
        <v>1618</v>
      </c>
      <c r="F81" s="1999"/>
      <c r="G81" s="1999"/>
      <c r="H81" s="1960"/>
      <c r="I81" s="1960"/>
      <c r="J81" s="1960"/>
      <c r="K81" s="1960"/>
      <c r="L81" s="1969"/>
      <c r="M81" s="1962"/>
      <c r="N81" s="1991">
        <f>SUM(M82:M84)</f>
        <v>37440</v>
      </c>
      <c r="O81" s="2000">
        <f>SUM(O82:O84)</f>
        <v>0</v>
      </c>
      <c r="P81" s="2000">
        <f t="shared" ref="P81:Z81" si="16">SUM(P82:P84)</f>
        <v>0</v>
      </c>
      <c r="Q81" s="2000">
        <f t="shared" si="16"/>
        <v>0</v>
      </c>
      <c r="R81" s="2000">
        <f t="shared" si="16"/>
        <v>12480</v>
      </c>
      <c r="S81" s="2000">
        <f t="shared" si="16"/>
        <v>12480</v>
      </c>
      <c r="T81" s="2000">
        <f t="shared" si="16"/>
        <v>12480</v>
      </c>
      <c r="U81" s="2000">
        <f t="shared" si="16"/>
        <v>0</v>
      </c>
      <c r="V81" s="2000">
        <f t="shared" si="16"/>
        <v>0</v>
      </c>
      <c r="W81" s="2000">
        <f t="shared" si="16"/>
        <v>0</v>
      </c>
      <c r="X81" s="2000">
        <f t="shared" si="16"/>
        <v>0</v>
      </c>
      <c r="Y81" s="2000">
        <f t="shared" si="16"/>
        <v>0</v>
      </c>
      <c r="Z81" s="2000">
        <f t="shared" si="16"/>
        <v>0</v>
      </c>
      <c r="AA81" s="1999" t="s">
        <v>2212</v>
      </c>
      <c r="AB81" s="1768" t="s">
        <v>280</v>
      </c>
    </row>
    <row r="82" spans="1:28" ht="100.75" customHeight="1">
      <c r="A82" s="1718"/>
      <c r="B82" s="1718"/>
      <c r="C82" s="1718"/>
      <c r="D82" s="1844"/>
      <c r="E82" s="1864" t="s">
        <v>1620</v>
      </c>
      <c r="F82" s="1750" t="s">
        <v>1621</v>
      </c>
      <c r="G82" s="1750" t="s">
        <v>1622</v>
      </c>
      <c r="H82" s="1779"/>
      <c r="I82" s="1779"/>
      <c r="J82" s="1779"/>
      <c r="K82" s="1779"/>
      <c r="L82" s="1794" t="s">
        <v>1623</v>
      </c>
      <c r="M82" s="1781"/>
      <c r="N82" s="1845"/>
      <c r="O82" s="1757"/>
      <c r="P82" s="1757"/>
      <c r="Q82" s="1757"/>
      <c r="R82" s="1757"/>
      <c r="S82" s="1757"/>
      <c r="T82" s="1757"/>
      <c r="U82" s="1757"/>
      <c r="V82" s="1757"/>
      <c r="W82" s="1757"/>
      <c r="X82" s="1757"/>
      <c r="Y82" s="1757"/>
      <c r="Z82" s="1757"/>
      <c r="AA82" s="1846" t="s">
        <v>1619</v>
      </c>
      <c r="AB82" s="1831"/>
    </row>
    <row r="83" spans="1:28" ht="60">
      <c r="A83" s="1718"/>
      <c r="B83" s="1718"/>
      <c r="C83" s="1718"/>
      <c r="D83" s="1847"/>
      <c r="E83" s="1865" t="s">
        <v>1624</v>
      </c>
      <c r="F83" s="1750" t="s">
        <v>1625</v>
      </c>
      <c r="G83" s="1750" t="s">
        <v>1626</v>
      </c>
      <c r="H83" s="1726"/>
      <c r="I83" s="1726"/>
      <c r="J83" s="1726"/>
      <c r="K83" s="1726"/>
      <c r="L83" s="1750" t="s">
        <v>1627</v>
      </c>
      <c r="M83" s="1866">
        <f>120*84*3</f>
        <v>30240</v>
      </c>
      <c r="N83" s="1849"/>
      <c r="O83" s="1732"/>
      <c r="P83" s="1732"/>
      <c r="Q83" s="1732"/>
      <c r="R83" s="1732">
        <v>10080</v>
      </c>
      <c r="S83" s="1848">
        <v>10080</v>
      </c>
      <c r="T83" s="1732">
        <v>10080</v>
      </c>
      <c r="U83" s="1732"/>
      <c r="V83" s="1732"/>
      <c r="W83" s="1732"/>
      <c r="X83" s="1732"/>
      <c r="Y83" s="1732"/>
      <c r="Z83" s="1732"/>
      <c r="AA83" s="1857"/>
      <c r="AB83" s="1833"/>
    </row>
    <row r="84" spans="1:28" ht="30">
      <c r="A84" s="1718"/>
      <c r="B84" s="1718"/>
      <c r="C84" s="1718"/>
      <c r="D84" s="1853"/>
      <c r="E84" s="1867"/>
      <c r="F84" s="1836"/>
      <c r="G84" s="1836"/>
      <c r="H84" s="1867"/>
      <c r="I84" s="1867"/>
      <c r="J84" s="1867"/>
      <c r="K84" s="1867"/>
      <c r="L84" s="1836" t="s">
        <v>1628</v>
      </c>
      <c r="M84" s="1868">
        <f>600*4*3</f>
        <v>7200</v>
      </c>
      <c r="N84" s="1861"/>
      <c r="O84" s="1745"/>
      <c r="P84" s="1745"/>
      <c r="Q84" s="1869"/>
      <c r="R84" s="1860">
        <v>2400</v>
      </c>
      <c r="S84" s="1860">
        <v>2400</v>
      </c>
      <c r="T84" s="1860">
        <v>2400</v>
      </c>
      <c r="U84" s="1869"/>
      <c r="V84" s="1869"/>
      <c r="W84" s="1869"/>
      <c r="X84" s="1869"/>
      <c r="Y84" s="1869"/>
      <c r="Z84" s="1745"/>
      <c r="AA84" s="1862"/>
      <c r="AB84" s="1842"/>
    </row>
    <row r="85" spans="1:28">
      <c r="A85" s="1967">
        <v>2</v>
      </c>
      <c r="B85" s="1968">
        <v>8</v>
      </c>
      <c r="C85" s="1968">
        <v>21</v>
      </c>
      <c r="D85" s="1955">
        <v>16</v>
      </c>
      <c r="E85" s="2001" t="s">
        <v>1629</v>
      </c>
      <c r="F85" s="1989"/>
      <c r="G85" s="1989"/>
      <c r="H85" s="1990"/>
      <c r="I85" s="1990"/>
      <c r="J85" s="1990"/>
      <c r="K85" s="1990"/>
      <c r="L85" s="1989"/>
      <c r="M85" s="1975"/>
      <c r="N85" s="1975">
        <v>2000</v>
      </c>
      <c r="O85" s="1962"/>
      <c r="P85" s="1962">
        <f>P86</f>
        <v>0</v>
      </c>
      <c r="Q85" s="1962">
        <f>Q86</f>
        <v>0</v>
      </c>
      <c r="R85" s="1962">
        <v>1000</v>
      </c>
      <c r="S85" s="1962"/>
      <c r="T85" s="1962"/>
      <c r="U85" s="1962"/>
      <c r="V85" s="1962"/>
      <c r="W85" s="1962"/>
      <c r="X85" s="1962">
        <v>1000</v>
      </c>
      <c r="Y85" s="1962"/>
      <c r="Z85" s="1962"/>
      <c r="AA85" s="1992" t="s">
        <v>2212</v>
      </c>
      <c r="AB85" s="1998" t="s">
        <v>1048</v>
      </c>
    </row>
    <row r="86" spans="1:28" ht="45">
      <c r="A86" s="1718"/>
      <c r="B86" s="1718"/>
      <c r="C86" s="1718"/>
      <c r="D86" s="1870"/>
      <c r="E86" s="1871" t="s">
        <v>1631</v>
      </c>
      <c r="F86" s="1872" t="s">
        <v>1632</v>
      </c>
      <c r="G86" s="1873" t="s">
        <v>1633</v>
      </c>
      <c r="H86" s="1856"/>
      <c r="I86" s="1856" t="s">
        <v>239</v>
      </c>
      <c r="J86" s="1856" t="s">
        <v>239</v>
      </c>
      <c r="K86" s="1856"/>
      <c r="L86" s="1874" t="s">
        <v>1634</v>
      </c>
      <c r="M86" s="1875">
        <v>2000</v>
      </c>
      <c r="N86" s="1876"/>
      <c r="O86" s="1732"/>
      <c r="P86" s="1732"/>
      <c r="Q86" s="1732"/>
      <c r="R86" s="1732">
        <v>1000</v>
      </c>
      <c r="S86" s="1732"/>
      <c r="T86" s="1732"/>
      <c r="U86" s="1732"/>
      <c r="V86" s="1732"/>
      <c r="W86" s="1732"/>
      <c r="X86" s="1732">
        <v>1000</v>
      </c>
      <c r="Y86" s="1732"/>
      <c r="Z86" s="1732"/>
      <c r="AA86" s="1857"/>
      <c r="AB86" s="1833"/>
    </row>
    <row r="87" spans="1:28" ht="105">
      <c r="A87" s="1718"/>
      <c r="B87" s="1718"/>
      <c r="C87" s="1718"/>
      <c r="D87" s="1877"/>
      <c r="E87" s="1878" t="s">
        <v>1635</v>
      </c>
      <c r="F87" s="1879" t="s">
        <v>1636</v>
      </c>
      <c r="G87" s="1880"/>
      <c r="H87" s="1859"/>
      <c r="I87" s="1859"/>
      <c r="J87" s="1859"/>
      <c r="K87" s="1859"/>
      <c r="L87" s="1881"/>
      <c r="M87" s="1882"/>
      <c r="N87" s="1883"/>
      <c r="O87" s="1745"/>
      <c r="P87" s="1745"/>
      <c r="Q87" s="1745"/>
      <c r="R87" s="1745"/>
      <c r="S87" s="1745"/>
      <c r="T87" s="1745"/>
      <c r="U87" s="1745"/>
      <c r="V87" s="1745"/>
      <c r="W87" s="1745"/>
      <c r="X87" s="1745"/>
      <c r="Y87" s="1745"/>
      <c r="Z87" s="1745"/>
      <c r="AA87" s="1862" t="s">
        <v>1630</v>
      </c>
      <c r="AB87" s="1842"/>
    </row>
    <row r="88" spans="1:28">
      <c r="A88" s="2002">
        <v>2</v>
      </c>
      <c r="B88" s="2003">
        <v>8</v>
      </c>
      <c r="C88" s="2003">
        <v>28</v>
      </c>
      <c r="D88" s="1968">
        <v>17</v>
      </c>
      <c r="E88" s="2004" t="s">
        <v>1637</v>
      </c>
      <c r="F88" s="2005"/>
      <c r="G88" s="2005"/>
      <c r="H88" s="2006"/>
      <c r="I88" s="2006"/>
      <c r="J88" s="2006"/>
      <c r="K88" s="2006"/>
      <c r="L88" s="2005"/>
      <c r="M88" s="2007"/>
      <c r="N88" s="1996">
        <v>30000</v>
      </c>
      <c r="O88" s="1962"/>
      <c r="P88" s="1962"/>
      <c r="Q88" s="1962">
        <v>6000</v>
      </c>
      <c r="R88" s="1962"/>
      <c r="S88" s="1962">
        <v>6000</v>
      </c>
      <c r="T88" s="1962"/>
      <c r="U88" s="1962">
        <v>6000</v>
      </c>
      <c r="V88" s="1962"/>
      <c r="W88" s="1962"/>
      <c r="X88" s="1962">
        <v>6000</v>
      </c>
      <c r="Y88" s="1962"/>
      <c r="Z88" s="1962">
        <v>6000</v>
      </c>
      <c r="AA88" s="1992" t="s">
        <v>2212</v>
      </c>
      <c r="AB88" s="1998" t="s">
        <v>1048</v>
      </c>
    </row>
    <row r="89" spans="1:28" ht="90">
      <c r="A89" s="1718"/>
      <c r="B89" s="1718"/>
      <c r="C89" s="1718"/>
      <c r="D89" s="1884"/>
      <c r="E89" s="1779" t="s">
        <v>1639</v>
      </c>
      <c r="F89" s="1794" t="s">
        <v>1640</v>
      </c>
      <c r="G89" s="1794" t="s">
        <v>1641</v>
      </c>
      <c r="H89" s="1808"/>
      <c r="I89" s="1808" t="s">
        <v>239</v>
      </c>
      <c r="J89" s="1808" t="s">
        <v>239</v>
      </c>
      <c r="K89" s="1808" t="s">
        <v>239</v>
      </c>
      <c r="L89" s="1779" t="s">
        <v>1642</v>
      </c>
      <c r="M89" s="1885">
        <v>30000</v>
      </c>
      <c r="N89" s="1886"/>
      <c r="O89" s="1757"/>
      <c r="P89" s="1757"/>
      <c r="Q89" s="1757">
        <v>6000</v>
      </c>
      <c r="R89" s="1757"/>
      <c r="S89" s="1757">
        <v>6000</v>
      </c>
      <c r="T89" s="1887"/>
      <c r="U89" s="1757">
        <v>6000</v>
      </c>
      <c r="V89" s="1757"/>
      <c r="W89" s="1757"/>
      <c r="X89" s="1757">
        <v>6000</v>
      </c>
      <c r="Y89" s="1757"/>
      <c r="Z89" s="1757">
        <v>6000</v>
      </c>
      <c r="AA89" s="1846" t="s">
        <v>1638</v>
      </c>
      <c r="AB89" s="1831"/>
    </row>
    <row r="90" spans="1:28">
      <c r="A90" s="1960">
        <v>4</v>
      </c>
      <c r="B90" s="1968">
        <v>11</v>
      </c>
      <c r="C90" s="1968">
        <v>33</v>
      </c>
      <c r="D90" s="2008">
        <v>18</v>
      </c>
      <c r="E90" s="3571" t="s">
        <v>1643</v>
      </c>
      <c r="F90" s="3572"/>
      <c r="G90" s="1966"/>
      <c r="H90" s="1974"/>
      <c r="I90" s="1974"/>
      <c r="J90" s="1974"/>
      <c r="K90" s="1974"/>
      <c r="L90" s="1966"/>
      <c r="M90" s="1975"/>
      <c r="N90" s="1975">
        <f>SUM(M91:M94)</f>
        <v>40800</v>
      </c>
      <c r="O90" s="1971">
        <f>O91+O92+O93+O94</f>
        <v>0</v>
      </c>
      <c r="P90" s="1971">
        <f>P91+P92+P93+P94</f>
        <v>13800</v>
      </c>
      <c r="Q90" s="1971">
        <f>Q91+Q92+Q93+Q94</f>
        <v>2400</v>
      </c>
      <c r="R90" s="1971">
        <f t="shared" ref="R90:Z90" si="17">R91+R92+R93+R94</f>
        <v>12600</v>
      </c>
      <c r="S90" s="1971">
        <f t="shared" si="17"/>
        <v>1200</v>
      </c>
      <c r="T90" s="1971">
        <f t="shared" si="17"/>
        <v>2400</v>
      </c>
      <c r="U90" s="1971">
        <f t="shared" si="17"/>
        <v>2400</v>
      </c>
      <c r="V90" s="1971">
        <f t="shared" si="17"/>
        <v>2400</v>
      </c>
      <c r="W90" s="1971">
        <f t="shared" si="17"/>
        <v>1200</v>
      </c>
      <c r="X90" s="1971">
        <f t="shared" si="17"/>
        <v>1200</v>
      </c>
      <c r="Y90" s="1971">
        <f t="shared" si="17"/>
        <v>1200</v>
      </c>
      <c r="Z90" s="1971">
        <f t="shared" si="17"/>
        <v>0</v>
      </c>
      <c r="AA90" s="2009" t="s">
        <v>2212</v>
      </c>
      <c r="AB90" s="2010" t="s">
        <v>280</v>
      </c>
    </row>
    <row r="91" spans="1:28" ht="90">
      <c r="A91" s="1718"/>
      <c r="B91" s="1718"/>
      <c r="C91" s="1718"/>
      <c r="D91" s="3576"/>
      <c r="E91" s="3573" t="s">
        <v>1645</v>
      </c>
      <c r="F91" s="3573" t="s">
        <v>1646</v>
      </c>
      <c r="G91" s="3573" t="s">
        <v>1647</v>
      </c>
      <c r="H91" s="1730" t="s">
        <v>768</v>
      </c>
      <c r="I91" s="1730" t="s">
        <v>239</v>
      </c>
      <c r="J91" s="1730"/>
      <c r="K91" s="1730"/>
      <c r="L91" s="1888" t="s">
        <v>1648</v>
      </c>
      <c r="M91" s="1889">
        <f>120*60*2</f>
        <v>14400</v>
      </c>
      <c r="N91" s="1729"/>
      <c r="O91" s="1732"/>
      <c r="P91" s="1730">
        <v>7200</v>
      </c>
      <c r="Q91" s="1730"/>
      <c r="R91" s="1731">
        <v>7200</v>
      </c>
      <c r="S91" s="1730"/>
      <c r="T91" s="1731"/>
      <c r="U91" s="1731"/>
      <c r="V91" s="1730"/>
      <c r="W91" s="1730"/>
      <c r="X91" s="1730"/>
      <c r="Y91" s="1731"/>
      <c r="Z91" s="1731"/>
      <c r="AA91" s="1890" t="s">
        <v>1644</v>
      </c>
      <c r="AB91" s="1891"/>
    </row>
    <row r="92" spans="1:28" ht="30">
      <c r="A92" s="1718"/>
      <c r="B92" s="1718"/>
      <c r="C92" s="1718"/>
      <c r="D92" s="3577"/>
      <c r="E92" s="3574"/>
      <c r="F92" s="3574"/>
      <c r="G92" s="3574"/>
      <c r="H92" s="1739"/>
      <c r="I92" s="1739"/>
      <c r="J92" s="1739"/>
      <c r="K92" s="1739"/>
      <c r="L92" s="1892" t="s">
        <v>1649</v>
      </c>
      <c r="M92" s="1893">
        <f>5*600*2</f>
        <v>6000</v>
      </c>
      <c r="N92" s="1743"/>
      <c r="O92" s="1745"/>
      <c r="P92" s="1745">
        <v>3000</v>
      </c>
      <c r="Q92" s="1869"/>
      <c r="R92" s="1745">
        <v>3000</v>
      </c>
      <c r="S92" s="1745"/>
      <c r="T92" s="1869"/>
      <c r="U92" s="1869"/>
      <c r="V92" s="1869"/>
      <c r="W92" s="1869"/>
      <c r="X92" s="1869"/>
      <c r="Y92" s="1869"/>
      <c r="Z92" s="1869"/>
      <c r="AA92" s="1894"/>
      <c r="AB92" s="1747"/>
    </row>
    <row r="93" spans="1:28" ht="225">
      <c r="A93" s="1718"/>
      <c r="B93" s="1718"/>
      <c r="C93" s="1718"/>
      <c r="D93" s="1834"/>
      <c r="E93" s="1895" t="s">
        <v>1650</v>
      </c>
      <c r="F93" s="1895" t="s">
        <v>1651</v>
      </c>
      <c r="G93" s="1895" t="s">
        <v>1652</v>
      </c>
      <c r="H93" s="1730" t="s">
        <v>239</v>
      </c>
      <c r="I93" s="1730" t="s">
        <v>239</v>
      </c>
      <c r="J93" s="1730" t="s">
        <v>239</v>
      </c>
      <c r="K93" s="1730" t="s">
        <v>239</v>
      </c>
      <c r="L93" s="1888" t="s">
        <v>1653</v>
      </c>
      <c r="M93" s="1889">
        <f>10*120*17</f>
        <v>20400</v>
      </c>
      <c r="N93" s="1729"/>
      <c r="O93" s="1732"/>
      <c r="P93" s="1732">
        <f>3*1200</f>
        <v>3600</v>
      </c>
      <c r="Q93" s="1732">
        <f>2*1200</f>
        <v>2400</v>
      </c>
      <c r="R93" s="1732">
        <f>2*1200</f>
        <v>2400</v>
      </c>
      <c r="S93" s="1732">
        <f>1*1200</f>
        <v>1200</v>
      </c>
      <c r="T93" s="1732">
        <f>2*1200</f>
        <v>2400</v>
      </c>
      <c r="U93" s="1732">
        <f>2*1200</f>
        <v>2400</v>
      </c>
      <c r="V93" s="1732">
        <f>2*1200</f>
        <v>2400</v>
      </c>
      <c r="W93" s="1732">
        <f>1*1200</f>
        <v>1200</v>
      </c>
      <c r="X93" s="1732">
        <f>1*1200</f>
        <v>1200</v>
      </c>
      <c r="Y93" s="1732">
        <f>1*1200</f>
        <v>1200</v>
      </c>
      <c r="Z93" s="1732"/>
      <c r="AA93" s="1733"/>
      <c r="AB93" s="1735"/>
    </row>
    <row r="94" spans="1:28" ht="75">
      <c r="A94" s="1718"/>
      <c r="B94" s="1718"/>
      <c r="C94" s="1718"/>
      <c r="D94" s="1842"/>
      <c r="E94" s="1896"/>
      <c r="F94" s="1896"/>
      <c r="G94" s="1896"/>
      <c r="H94" s="1739" t="s">
        <v>239</v>
      </c>
      <c r="I94" s="1739" t="s">
        <v>239</v>
      </c>
      <c r="J94" s="1739" t="s">
        <v>239</v>
      </c>
      <c r="K94" s="1739" t="s">
        <v>239</v>
      </c>
      <c r="L94" s="1897" t="s">
        <v>1654</v>
      </c>
      <c r="M94" s="1898"/>
      <c r="N94" s="1743"/>
      <c r="O94" s="1745"/>
      <c r="P94" s="1745"/>
      <c r="Q94" s="1745"/>
      <c r="R94" s="1745"/>
      <c r="S94" s="1745"/>
      <c r="T94" s="1745"/>
      <c r="U94" s="1745"/>
      <c r="V94" s="1745"/>
      <c r="W94" s="1745"/>
      <c r="X94" s="1745"/>
      <c r="Y94" s="1745"/>
      <c r="Z94" s="1869"/>
      <c r="AA94" s="1894"/>
      <c r="AB94" s="1747"/>
    </row>
    <row r="95" spans="1:28">
      <c r="A95" s="1960">
        <v>4</v>
      </c>
      <c r="B95" s="1968">
        <v>11</v>
      </c>
      <c r="C95" s="1968">
        <v>33</v>
      </c>
      <c r="D95" s="1998">
        <v>19</v>
      </c>
      <c r="E95" s="2011" t="s">
        <v>1655</v>
      </c>
      <c r="F95" s="2003"/>
      <c r="G95" s="2003"/>
      <c r="H95" s="2012"/>
      <c r="I95" s="2012"/>
      <c r="J95" s="2012"/>
      <c r="K95" s="2012"/>
      <c r="L95" s="2003"/>
      <c r="M95" s="2013"/>
      <c r="N95" s="2013">
        <f>M96</f>
        <v>7200</v>
      </c>
      <c r="O95" s="2014">
        <f>O96</f>
        <v>0</v>
      </c>
      <c r="P95" s="2014">
        <f t="shared" ref="P95:Z95" si="18">P96</f>
        <v>3600</v>
      </c>
      <c r="Q95" s="2014">
        <f t="shared" si="18"/>
        <v>0</v>
      </c>
      <c r="R95" s="2014">
        <f t="shared" si="18"/>
        <v>0</v>
      </c>
      <c r="S95" s="2014">
        <f t="shared" si="18"/>
        <v>0</v>
      </c>
      <c r="T95" s="2014">
        <f t="shared" si="18"/>
        <v>0</v>
      </c>
      <c r="U95" s="2014">
        <f t="shared" si="18"/>
        <v>0</v>
      </c>
      <c r="V95" s="2014">
        <f t="shared" si="18"/>
        <v>0</v>
      </c>
      <c r="W95" s="2014">
        <f t="shared" si="18"/>
        <v>3600</v>
      </c>
      <c r="X95" s="2014">
        <f t="shared" si="18"/>
        <v>0</v>
      </c>
      <c r="Y95" s="2014">
        <f t="shared" si="18"/>
        <v>0</v>
      </c>
      <c r="Z95" s="2014">
        <f t="shared" si="18"/>
        <v>0</v>
      </c>
      <c r="AA95" s="2009" t="s">
        <v>2212</v>
      </c>
      <c r="AB95" s="2015" t="s">
        <v>280</v>
      </c>
    </row>
    <row r="96" spans="1:28" ht="165">
      <c r="A96" s="1718"/>
      <c r="B96" s="1718"/>
      <c r="C96" s="1718"/>
      <c r="D96" s="1899"/>
      <c r="E96" s="1895" t="s">
        <v>1656</v>
      </c>
      <c r="F96" s="1895" t="s">
        <v>1657</v>
      </c>
      <c r="G96" s="1895" t="s">
        <v>1658</v>
      </c>
      <c r="H96" s="1900" t="s">
        <v>239</v>
      </c>
      <c r="I96" s="1856" t="s">
        <v>978</v>
      </c>
      <c r="J96" s="1856" t="s">
        <v>768</v>
      </c>
      <c r="K96" s="1726" t="s">
        <v>978</v>
      </c>
      <c r="L96" s="1895" t="s">
        <v>1659</v>
      </c>
      <c r="M96" s="1901">
        <f>30*120*2</f>
        <v>7200</v>
      </c>
      <c r="N96" s="1729"/>
      <c r="O96" s="1866"/>
      <c r="P96" s="1902">
        <v>3600</v>
      </c>
      <c r="Q96" s="1903"/>
      <c r="R96" s="1903"/>
      <c r="S96" s="1903"/>
      <c r="T96" s="1903"/>
      <c r="U96" s="1903"/>
      <c r="V96" s="1903"/>
      <c r="W96" s="1866">
        <v>3600</v>
      </c>
      <c r="X96" s="1903"/>
      <c r="Y96" s="1902"/>
      <c r="Z96" s="1902"/>
      <c r="AA96" s="1735" t="s">
        <v>1644</v>
      </c>
      <c r="AB96" s="1735"/>
    </row>
    <row r="97" spans="1:28">
      <c r="A97" s="1960">
        <v>4</v>
      </c>
      <c r="B97" s="1968">
        <v>11</v>
      </c>
      <c r="C97" s="1968">
        <v>33</v>
      </c>
      <c r="D97" s="2016">
        <v>20</v>
      </c>
      <c r="E97" s="2017" t="s">
        <v>1660</v>
      </c>
      <c r="F97" s="2003"/>
      <c r="G97" s="2003"/>
      <c r="H97" s="2012"/>
      <c r="I97" s="2012"/>
      <c r="J97" s="2012"/>
      <c r="K97" s="2012"/>
      <c r="L97" s="2003"/>
      <c r="M97" s="2013"/>
      <c r="N97" s="2013">
        <f>M98</f>
        <v>7200</v>
      </c>
      <c r="O97" s="2014">
        <f>O98</f>
        <v>0</v>
      </c>
      <c r="P97" s="2014">
        <f t="shared" ref="P97:Z97" si="19">P98</f>
        <v>3600</v>
      </c>
      <c r="Q97" s="2014">
        <f t="shared" si="19"/>
        <v>0</v>
      </c>
      <c r="R97" s="2014">
        <f t="shared" si="19"/>
        <v>0</v>
      </c>
      <c r="S97" s="2014">
        <f t="shared" si="19"/>
        <v>0</v>
      </c>
      <c r="T97" s="2014">
        <f t="shared" si="19"/>
        <v>0</v>
      </c>
      <c r="U97" s="2014">
        <f t="shared" si="19"/>
        <v>0</v>
      </c>
      <c r="V97" s="2014">
        <f t="shared" si="19"/>
        <v>0</v>
      </c>
      <c r="W97" s="2014">
        <f t="shared" si="19"/>
        <v>3600</v>
      </c>
      <c r="X97" s="2014">
        <f t="shared" si="19"/>
        <v>0</v>
      </c>
      <c r="Y97" s="2014">
        <f t="shared" si="19"/>
        <v>0</v>
      </c>
      <c r="Z97" s="2014">
        <f t="shared" si="19"/>
        <v>0</v>
      </c>
      <c r="AA97" s="2009" t="s">
        <v>2212</v>
      </c>
      <c r="AB97" s="2018" t="s">
        <v>280</v>
      </c>
    </row>
    <row r="98" spans="1:28" ht="135">
      <c r="A98" s="1718"/>
      <c r="B98" s="1718"/>
      <c r="C98" s="1718"/>
      <c r="D98" s="1899"/>
      <c r="E98" s="1897" t="s">
        <v>1661</v>
      </c>
      <c r="F98" s="1896" t="s">
        <v>1662</v>
      </c>
      <c r="G98" s="1896" t="s">
        <v>1663</v>
      </c>
      <c r="H98" s="1755" t="s">
        <v>768</v>
      </c>
      <c r="I98" s="1755"/>
      <c r="J98" s="1755" t="s">
        <v>768</v>
      </c>
      <c r="K98" s="1755"/>
      <c r="L98" s="1785" t="s">
        <v>1664</v>
      </c>
      <c r="M98" s="1904">
        <f>30*120*2</f>
        <v>7200</v>
      </c>
      <c r="N98" s="1754"/>
      <c r="O98" s="1767"/>
      <c r="P98" s="1905">
        <v>3600</v>
      </c>
      <c r="Q98" s="1905"/>
      <c r="R98" s="1905"/>
      <c r="S98" s="1905"/>
      <c r="T98" s="1905"/>
      <c r="U98" s="1905"/>
      <c r="V98" s="1905"/>
      <c r="W98" s="1905">
        <v>3600</v>
      </c>
      <c r="X98" s="1905"/>
      <c r="Y98" s="1905"/>
      <c r="Z98" s="1905"/>
      <c r="AA98" s="1906" t="s">
        <v>1644</v>
      </c>
      <c r="AB98" s="1906"/>
    </row>
    <row r="99" spans="1:28">
      <c r="A99" s="1960">
        <v>4</v>
      </c>
      <c r="B99" s="1968">
        <v>11</v>
      </c>
      <c r="C99" s="1968">
        <v>33</v>
      </c>
      <c r="D99" s="1967">
        <v>21</v>
      </c>
      <c r="E99" s="2019" t="s">
        <v>1665</v>
      </c>
      <c r="F99" s="1999"/>
      <c r="G99" s="1999"/>
      <c r="H99" s="1999"/>
      <c r="I99" s="1999"/>
      <c r="J99" s="1999"/>
      <c r="K99" s="1999"/>
      <c r="L99" s="2020"/>
      <c r="M99" s="2021"/>
      <c r="N99" s="2022">
        <f>SUM(M100:M103)</f>
        <v>35400</v>
      </c>
      <c r="O99" s="2021">
        <f>SUM(O100:O103)</f>
        <v>0</v>
      </c>
      <c r="P99" s="2021">
        <f t="shared" ref="P99:Y99" si="20">SUM(P100:P103)</f>
        <v>0</v>
      </c>
      <c r="Q99" s="2021">
        <f t="shared" si="20"/>
        <v>7200</v>
      </c>
      <c r="R99" s="2021">
        <f t="shared" si="20"/>
        <v>7200</v>
      </c>
      <c r="S99" s="2021">
        <f t="shared" si="20"/>
        <v>6600</v>
      </c>
      <c r="T99" s="2021">
        <f t="shared" si="20"/>
        <v>0</v>
      </c>
      <c r="U99" s="2021">
        <f t="shared" si="20"/>
        <v>7200</v>
      </c>
      <c r="V99" s="2021">
        <f t="shared" si="20"/>
        <v>0</v>
      </c>
      <c r="W99" s="2021">
        <f t="shared" si="20"/>
        <v>0</v>
      </c>
      <c r="X99" s="2021">
        <f t="shared" si="20"/>
        <v>0</v>
      </c>
      <c r="Y99" s="2021">
        <f t="shared" si="20"/>
        <v>7200</v>
      </c>
      <c r="Z99" s="2021"/>
      <c r="AA99" s="1999" t="s">
        <v>2212</v>
      </c>
      <c r="AB99" s="2010" t="s">
        <v>280</v>
      </c>
    </row>
    <row r="100" spans="1:28" ht="105">
      <c r="A100" s="1718"/>
      <c r="B100" s="1718"/>
      <c r="C100" s="1718"/>
      <c r="D100" s="1833"/>
      <c r="E100" s="1907" t="s">
        <v>1667</v>
      </c>
      <c r="F100" s="1907" t="s">
        <v>1668</v>
      </c>
      <c r="G100" s="1907" t="s">
        <v>1669</v>
      </c>
      <c r="H100" s="1908" t="s">
        <v>768</v>
      </c>
      <c r="I100" s="1908" t="s">
        <v>768</v>
      </c>
      <c r="J100" s="1908" t="s">
        <v>768</v>
      </c>
      <c r="K100" s="1909" t="s">
        <v>768</v>
      </c>
      <c r="L100" s="1907" t="s">
        <v>1670</v>
      </c>
      <c r="M100" s="1757">
        <f>2*120*60</f>
        <v>14400</v>
      </c>
      <c r="N100" s="1910"/>
      <c r="O100" s="1739"/>
      <c r="P100" s="1739"/>
      <c r="Q100" s="1739">
        <v>7200</v>
      </c>
      <c r="R100" s="1744"/>
      <c r="S100" s="1739"/>
      <c r="T100" s="1744"/>
      <c r="U100" s="1744"/>
      <c r="V100" s="1739"/>
      <c r="W100" s="1739"/>
      <c r="X100" s="1739"/>
      <c r="Y100" s="1744">
        <v>7200</v>
      </c>
      <c r="Z100" s="1744"/>
      <c r="AA100" s="1911" t="s">
        <v>1666</v>
      </c>
      <c r="AB100" s="1912"/>
    </row>
    <row r="101" spans="1:28" ht="100.3" customHeight="1">
      <c r="A101" s="1718"/>
      <c r="B101" s="1718"/>
      <c r="C101" s="1718"/>
      <c r="D101" s="1913"/>
      <c r="E101" s="1907" t="s">
        <v>1671</v>
      </c>
      <c r="F101" s="1907" t="s">
        <v>1672</v>
      </c>
      <c r="G101" s="1907" t="s">
        <v>1673</v>
      </c>
      <c r="H101" s="1908" t="s">
        <v>768</v>
      </c>
      <c r="I101" s="1908" t="s">
        <v>978</v>
      </c>
      <c r="J101" s="1908" t="s">
        <v>978</v>
      </c>
      <c r="K101" s="1909" t="s">
        <v>768</v>
      </c>
      <c r="L101" s="1907" t="s">
        <v>1674</v>
      </c>
      <c r="M101" s="1757">
        <f>60*120*2</f>
        <v>14400</v>
      </c>
      <c r="N101" s="1910"/>
      <c r="O101" s="1757"/>
      <c r="P101" s="1757"/>
      <c r="Q101" s="1887"/>
      <c r="R101" s="1757">
        <v>7200</v>
      </c>
      <c r="S101" s="1757"/>
      <c r="T101" s="1887"/>
      <c r="U101" s="1757">
        <v>7200</v>
      </c>
      <c r="V101" s="1887"/>
      <c r="W101" s="1887"/>
      <c r="X101" s="1887"/>
      <c r="Y101" s="1887"/>
      <c r="Z101" s="1887"/>
      <c r="AA101" s="1914"/>
      <c r="AB101" s="1723"/>
    </row>
    <row r="102" spans="1:28" ht="105">
      <c r="A102" s="1718"/>
      <c r="B102" s="1718"/>
      <c r="C102" s="1718"/>
      <c r="D102" s="1913"/>
      <c r="E102" s="1907" t="s">
        <v>1675</v>
      </c>
      <c r="F102" s="1907" t="s">
        <v>1676</v>
      </c>
      <c r="G102" s="1907" t="s">
        <v>1677</v>
      </c>
      <c r="H102" s="1908" t="s">
        <v>768</v>
      </c>
      <c r="I102" s="1908" t="s">
        <v>978</v>
      </c>
      <c r="J102" s="1908" t="s">
        <v>978</v>
      </c>
      <c r="K102" s="1909" t="s">
        <v>768</v>
      </c>
      <c r="L102" s="1907"/>
      <c r="M102" s="1757"/>
      <c r="N102" s="1910"/>
      <c r="O102" s="1757"/>
      <c r="P102" s="1757"/>
      <c r="Q102" s="1887"/>
      <c r="R102" s="1757"/>
      <c r="S102" s="1757"/>
      <c r="T102" s="1887"/>
      <c r="U102" s="1887"/>
      <c r="V102" s="1887"/>
      <c r="W102" s="1887"/>
      <c r="X102" s="1887"/>
      <c r="Y102" s="1887"/>
      <c r="Z102" s="1887"/>
      <c r="AA102" s="1914"/>
      <c r="AB102" s="1723"/>
    </row>
    <row r="103" spans="1:28" ht="82.95" customHeight="1">
      <c r="A103" s="1718"/>
      <c r="B103" s="1718"/>
      <c r="C103" s="1718"/>
      <c r="D103" s="1915"/>
      <c r="E103" s="1779" t="s">
        <v>1678</v>
      </c>
      <c r="F103" s="1779" t="s">
        <v>1679</v>
      </c>
      <c r="G103" s="1779" t="s">
        <v>2278</v>
      </c>
      <c r="H103" s="1779"/>
      <c r="I103" s="1808" t="s">
        <v>768</v>
      </c>
      <c r="J103" s="1808" t="s">
        <v>768</v>
      </c>
      <c r="K103" s="1779"/>
      <c r="L103" s="1779" t="s">
        <v>2277</v>
      </c>
      <c r="M103" s="1757">
        <f>600*11</f>
        <v>6600</v>
      </c>
      <c r="N103" s="1754"/>
      <c r="O103" s="1757"/>
      <c r="P103" s="1757"/>
      <c r="Q103" s="1887"/>
      <c r="R103" s="1887"/>
      <c r="S103" s="1757">
        <v>6600</v>
      </c>
      <c r="T103" s="1887"/>
      <c r="U103" s="1887"/>
      <c r="V103" s="1887"/>
      <c r="W103" s="1887"/>
      <c r="X103" s="1887"/>
      <c r="Y103" s="1887"/>
      <c r="Z103" s="1887"/>
      <c r="AA103" s="1914"/>
      <c r="AB103" s="1723"/>
    </row>
    <row r="104" spans="1:28">
      <c r="A104" s="1960">
        <v>4</v>
      </c>
      <c r="B104" s="1968">
        <v>11</v>
      </c>
      <c r="C104" s="1968">
        <v>33</v>
      </c>
      <c r="D104" s="1998">
        <v>22</v>
      </c>
      <c r="E104" s="2023" t="s">
        <v>1680</v>
      </c>
      <c r="F104" s="1972"/>
      <c r="G104" s="1972"/>
      <c r="H104" s="1969"/>
      <c r="I104" s="1969"/>
      <c r="J104" s="1969"/>
      <c r="K104" s="1969"/>
      <c r="L104" s="1972"/>
      <c r="M104" s="1962"/>
      <c r="N104" s="2024">
        <f>SUM(M105)</f>
        <v>2000</v>
      </c>
      <c r="O104" s="1962">
        <f>SUM(O105:O106)</f>
        <v>0</v>
      </c>
      <c r="P104" s="1962">
        <f t="shared" ref="P104:Z104" si="21">SUM(P105:P106)</f>
        <v>0</v>
      </c>
      <c r="Q104" s="1962">
        <f t="shared" si="21"/>
        <v>500</v>
      </c>
      <c r="R104" s="1962">
        <f t="shared" si="21"/>
        <v>500</v>
      </c>
      <c r="S104" s="1962">
        <f t="shared" si="21"/>
        <v>0</v>
      </c>
      <c r="T104" s="1962">
        <f t="shared" si="21"/>
        <v>0</v>
      </c>
      <c r="U104" s="1962">
        <f t="shared" si="21"/>
        <v>500</v>
      </c>
      <c r="V104" s="1962">
        <f t="shared" si="21"/>
        <v>0</v>
      </c>
      <c r="W104" s="1962">
        <f t="shared" si="21"/>
        <v>0</v>
      </c>
      <c r="X104" s="1962">
        <f t="shared" si="21"/>
        <v>0</v>
      </c>
      <c r="Y104" s="1962">
        <f t="shared" si="21"/>
        <v>500</v>
      </c>
      <c r="Z104" s="1962">
        <f t="shared" si="21"/>
        <v>0</v>
      </c>
      <c r="AA104" s="2025" t="s">
        <v>2212</v>
      </c>
      <c r="AB104" s="1966" t="s">
        <v>280</v>
      </c>
    </row>
    <row r="105" spans="1:28" ht="75">
      <c r="A105" s="1718"/>
      <c r="B105" s="1718"/>
      <c r="C105" s="1718"/>
      <c r="D105" s="1834"/>
      <c r="E105" s="1916" t="s">
        <v>1681</v>
      </c>
      <c r="F105" s="1917" t="s">
        <v>1682</v>
      </c>
      <c r="G105" s="1916" t="s">
        <v>1683</v>
      </c>
      <c r="H105" s="1918" t="s">
        <v>768</v>
      </c>
      <c r="I105" s="1918" t="s">
        <v>978</v>
      </c>
      <c r="J105" s="1918" t="s">
        <v>768</v>
      </c>
      <c r="K105" s="1919" t="s">
        <v>978</v>
      </c>
      <c r="L105" s="1917" t="s">
        <v>1684</v>
      </c>
      <c r="M105" s="1920">
        <v>2000</v>
      </c>
      <c r="N105" s="1921"/>
      <c r="O105" s="1922"/>
      <c r="P105" s="1921"/>
      <c r="Q105" s="1922">
        <v>500</v>
      </c>
      <c r="R105" s="1921">
        <v>500</v>
      </c>
      <c r="S105" s="1922"/>
      <c r="T105" s="1921"/>
      <c r="U105" s="1922">
        <v>500</v>
      </c>
      <c r="V105" s="1922"/>
      <c r="W105" s="1922"/>
      <c r="X105" s="1921"/>
      <c r="Y105" s="1922">
        <v>500</v>
      </c>
      <c r="Z105" s="1922"/>
      <c r="AA105" s="1923" t="s">
        <v>1666</v>
      </c>
      <c r="AB105" s="1920"/>
    </row>
    <row r="106" spans="1:28" ht="75">
      <c r="A106" s="1718"/>
      <c r="B106" s="1718"/>
      <c r="C106" s="1718"/>
      <c r="D106" s="1842"/>
      <c r="E106" s="1836" t="s">
        <v>1685</v>
      </c>
      <c r="F106" s="1867" t="s">
        <v>1686</v>
      </c>
      <c r="G106" s="1836" t="s">
        <v>1687</v>
      </c>
      <c r="H106" s="1924" t="s">
        <v>768</v>
      </c>
      <c r="I106" s="1924" t="s">
        <v>978</v>
      </c>
      <c r="J106" s="1924" t="s">
        <v>768</v>
      </c>
      <c r="K106" s="1859" t="s">
        <v>978</v>
      </c>
      <c r="L106" s="1867" t="s">
        <v>1688</v>
      </c>
      <c r="M106" s="1747" t="s">
        <v>978</v>
      </c>
      <c r="N106" s="1925" t="s">
        <v>978</v>
      </c>
      <c r="O106" s="1925"/>
      <c r="P106" s="1925"/>
      <c r="Q106" s="1926"/>
      <c r="R106" s="1926"/>
      <c r="S106" s="1926"/>
      <c r="T106" s="1926"/>
      <c r="U106" s="1926"/>
      <c r="V106" s="1926"/>
      <c r="W106" s="1926"/>
      <c r="X106" s="1926"/>
      <c r="Y106" s="1925"/>
      <c r="Z106" s="1925"/>
      <c r="AA106" s="1747"/>
      <c r="AB106" s="1747"/>
    </row>
    <row r="107" spans="1:28">
      <c r="A107" s="2002">
        <v>1</v>
      </c>
      <c r="B107" s="2003">
        <v>2</v>
      </c>
      <c r="C107" s="2003">
        <v>2</v>
      </c>
      <c r="D107" s="1968">
        <v>23</v>
      </c>
      <c r="E107" s="3575" t="s">
        <v>1689</v>
      </c>
      <c r="F107" s="3575"/>
      <c r="G107" s="3575"/>
      <c r="H107" s="2026"/>
      <c r="I107" s="2026"/>
      <c r="J107" s="2026"/>
      <c r="K107" s="2026"/>
      <c r="L107" s="1966"/>
      <c r="M107" s="1973"/>
      <c r="N107" s="2027">
        <v>94200</v>
      </c>
      <c r="O107" s="2028">
        <f>SUM(O108:O109)</f>
        <v>94200</v>
      </c>
      <c r="P107" s="2028">
        <f t="shared" ref="P107:Z107" si="22">SUM(P108:P109)</f>
        <v>0</v>
      </c>
      <c r="Q107" s="2028">
        <f t="shared" si="22"/>
        <v>0</v>
      </c>
      <c r="R107" s="2028">
        <f t="shared" si="22"/>
        <v>0</v>
      </c>
      <c r="S107" s="2028">
        <f t="shared" si="22"/>
        <v>0</v>
      </c>
      <c r="T107" s="2028">
        <f t="shared" si="22"/>
        <v>0</v>
      </c>
      <c r="U107" s="2028">
        <f t="shared" si="22"/>
        <v>0</v>
      </c>
      <c r="V107" s="2028">
        <f t="shared" si="22"/>
        <v>0</v>
      </c>
      <c r="W107" s="2028">
        <f t="shared" si="22"/>
        <v>0</v>
      </c>
      <c r="X107" s="2028">
        <f t="shared" si="22"/>
        <v>0</v>
      </c>
      <c r="Y107" s="2028">
        <f t="shared" si="22"/>
        <v>0</v>
      </c>
      <c r="Z107" s="2028">
        <f t="shared" si="22"/>
        <v>0</v>
      </c>
      <c r="AA107" s="1967" t="s">
        <v>2212</v>
      </c>
      <c r="AB107" s="1966" t="s">
        <v>280</v>
      </c>
    </row>
    <row r="108" spans="1:28" ht="90">
      <c r="A108" s="1718"/>
      <c r="B108" s="1718"/>
      <c r="C108" s="1718"/>
      <c r="D108" s="1834"/>
      <c r="E108" s="1927" t="s">
        <v>1690</v>
      </c>
      <c r="F108" s="3564" t="s">
        <v>1691</v>
      </c>
      <c r="G108" s="1927" t="s">
        <v>1692</v>
      </c>
      <c r="H108" s="1919" t="s">
        <v>239</v>
      </c>
      <c r="I108" s="1917"/>
      <c r="J108" s="1917"/>
      <c r="K108" s="1917"/>
      <c r="L108" s="1917" t="s">
        <v>1693</v>
      </c>
      <c r="M108" s="1928">
        <v>7200</v>
      </c>
      <c r="N108" s="1921"/>
      <c r="O108" s="1929">
        <v>7200</v>
      </c>
      <c r="P108" s="1929"/>
      <c r="Q108" s="1929"/>
      <c r="R108" s="1929"/>
      <c r="S108" s="1929"/>
      <c r="T108" s="1929"/>
      <c r="U108" s="1929"/>
      <c r="V108" s="1929"/>
      <c r="W108" s="1929"/>
      <c r="X108" s="1929"/>
      <c r="Y108" s="1929"/>
      <c r="Z108" s="1929"/>
      <c r="AA108" s="1917" t="s">
        <v>1517</v>
      </c>
      <c r="AB108" s="1920"/>
    </row>
    <row r="109" spans="1:28" ht="105">
      <c r="A109" s="1718"/>
      <c r="B109" s="1718"/>
      <c r="C109" s="1718"/>
      <c r="D109" s="1747"/>
      <c r="E109" s="1881" t="s">
        <v>1694</v>
      </c>
      <c r="F109" s="3565"/>
      <c r="G109" s="1930" t="s">
        <v>1695</v>
      </c>
      <c r="H109" s="1739" t="s">
        <v>239</v>
      </c>
      <c r="I109" s="1739"/>
      <c r="J109" s="1739"/>
      <c r="K109" s="1739"/>
      <c r="L109" s="1738" t="s">
        <v>1696</v>
      </c>
      <c r="M109" s="1745">
        <v>87000</v>
      </c>
      <c r="N109" s="1743"/>
      <c r="O109" s="1745">
        <v>87000</v>
      </c>
      <c r="P109" s="1745"/>
      <c r="Q109" s="1745"/>
      <c r="R109" s="1745"/>
      <c r="S109" s="1745"/>
      <c r="T109" s="1745"/>
      <c r="U109" s="1745"/>
      <c r="V109" s="1745"/>
      <c r="W109" s="1745"/>
      <c r="X109" s="1745"/>
      <c r="Y109" s="1745"/>
      <c r="Z109" s="1745"/>
      <c r="AA109" s="1746"/>
      <c r="AB109" s="1747"/>
    </row>
    <row r="110" spans="1:28" ht="14.25" customHeight="1">
      <c r="A110" s="2002">
        <v>1</v>
      </c>
      <c r="B110" s="2003">
        <v>2</v>
      </c>
      <c r="C110" s="2003">
        <v>2</v>
      </c>
      <c r="D110" s="2016">
        <v>24</v>
      </c>
      <c r="E110" s="1966" t="s">
        <v>1697</v>
      </c>
      <c r="F110" s="2029"/>
      <c r="G110" s="2030"/>
      <c r="H110" s="2031"/>
      <c r="I110" s="2031"/>
      <c r="J110" s="2031"/>
      <c r="K110" s="2031"/>
      <c r="L110" s="2031"/>
      <c r="M110" s="2032"/>
      <c r="N110" s="2033">
        <f>SUM(M111:M112)</f>
        <v>9600</v>
      </c>
      <c r="O110" s="2028">
        <f>SUM(O111:O112)</f>
        <v>0</v>
      </c>
      <c r="P110" s="2028">
        <f t="shared" ref="P110:Z110" si="23">SUM(P111:P112)</f>
        <v>0</v>
      </c>
      <c r="Q110" s="2028">
        <f t="shared" si="23"/>
        <v>0</v>
      </c>
      <c r="R110" s="2028">
        <f t="shared" si="23"/>
        <v>9600</v>
      </c>
      <c r="S110" s="2028">
        <f t="shared" si="23"/>
        <v>0</v>
      </c>
      <c r="T110" s="2028">
        <f t="shared" si="23"/>
        <v>0</v>
      </c>
      <c r="U110" s="2028">
        <f t="shared" si="23"/>
        <v>0</v>
      </c>
      <c r="V110" s="2028">
        <f t="shared" si="23"/>
        <v>0</v>
      </c>
      <c r="W110" s="2028">
        <f t="shared" si="23"/>
        <v>0</v>
      </c>
      <c r="X110" s="2028">
        <f t="shared" si="23"/>
        <v>0</v>
      </c>
      <c r="Y110" s="2028">
        <f t="shared" si="23"/>
        <v>0</v>
      </c>
      <c r="Z110" s="2028">
        <f t="shared" si="23"/>
        <v>0</v>
      </c>
      <c r="AA110" s="2031" t="s">
        <v>2212</v>
      </c>
      <c r="AB110" s="2018" t="s">
        <v>280</v>
      </c>
    </row>
    <row r="111" spans="1:28" ht="285">
      <c r="A111" s="1718"/>
      <c r="B111" s="1718"/>
      <c r="C111" s="1718"/>
      <c r="D111" s="1908"/>
      <c r="E111" s="1726" t="s">
        <v>1699</v>
      </c>
      <c r="F111" s="1726" t="s">
        <v>1700</v>
      </c>
      <c r="G111" s="1726" t="s">
        <v>1701</v>
      </c>
      <c r="H111" s="1931"/>
      <c r="I111" s="1931" t="s">
        <v>239</v>
      </c>
      <c r="J111" s="1931"/>
      <c r="K111" s="1931"/>
      <c r="L111" s="1779" t="s">
        <v>1702</v>
      </c>
      <c r="M111" s="1932">
        <f>70*1*80</f>
        <v>5600</v>
      </c>
      <c r="N111" s="1932"/>
      <c r="O111" s="1932"/>
      <c r="P111" s="1932"/>
      <c r="Q111" s="1932"/>
      <c r="R111" s="1932">
        <v>5600</v>
      </c>
      <c r="S111" s="1932"/>
      <c r="T111" s="1932"/>
      <c r="U111" s="1932"/>
      <c r="V111" s="1932"/>
      <c r="W111" s="1932"/>
      <c r="X111" s="1932"/>
      <c r="Y111" s="1932"/>
      <c r="Z111" s="1932"/>
      <c r="AA111" s="1933" t="s">
        <v>1698</v>
      </c>
      <c r="AB111" s="1906"/>
    </row>
    <row r="112" spans="1:28" ht="45">
      <c r="A112" s="1718"/>
      <c r="B112" s="1718"/>
      <c r="C112" s="1718"/>
      <c r="D112" s="1908"/>
      <c r="E112" s="1726"/>
      <c r="F112" s="1726"/>
      <c r="G112" s="1726"/>
      <c r="H112" s="1931"/>
      <c r="I112" s="1931"/>
      <c r="J112" s="1931"/>
      <c r="K112" s="1931"/>
      <c r="L112" s="1779" t="s">
        <v>2279</v>
      </c>
      <c r="M112" s="1932">
        <f>25*2*80</f>
        <v>4000</v>
      </c>
      <c r="N112" s="1932"/>
      <c r="O112" s="1932"/>
      <c r="P112" s="1932"/>
      <c r="Q112" s="1932"/>
      <c r="R112" s="1932">
        <v>4000</v>
      </c>
      <c r="S112" s="1932"/>
      <c r="T112" s="1932"/>
      <c r="U112" s="1932"/>
      <c r="V112" s="1932"/>
      <c r="W112" s="1932"/>
      <c r="X112" s="1932"/>
      <c r="Y112" s="1932"/>
      <c r="Z112" s="1932"/>
      <c r="AA112" s="1933"/>
      <c r="AB112" s="1906"/>
    </row>
    <row r="113" spans="1:28" ht="14.25" customHeight="1">
      <c r="A113" s="2002">
        <v>1</v>
      </c>
      <c r="B113" s="2003">
        <v>2</v>
      </c>
      <c r="C113" s="2003">
        <v>2</v>
      </c>
      <c r="D113" s="2016">
        <v>25</v>
      </c>
      <c r="E113" s="1966" t="s">
        <v>1703</v>
      </c>
      <c r="F113" s="2029"/>
      <c r="G113" s="2029"/>
      <c r="H113" s="2031"/>
      <c r="I113" s="2031"/>
      <c r="J113" s="2031"/>
      <c r="K113" s="2031"/>
      <c r="L113" s="2029"/>
      <c r="M113" s="2032"/>
      <c r="N113" s="2032">
        <f>SUM(M114:M115)</f>
        <v>6000</v>
      </c>
      <c r="O113" s="2028">
        <f>SUM(O114:O115)</f>
        <v>0</v>
      </c>
      <c r="P113" s="2028">
        <f t="shared" ref="P113:Z113" si="24">SUM(P114:P115)</f>
        <v>0</v>
      </c>
      <c r="Q113" s="2028">
        <f t="shared" si="24"/>
        <v>0</v>
      </c>
      <c r="R113" s="2028">
        <f t="shared" si="24"/>
        <v>6000</v>
      </c>
      <c r="S113" s="2028">
        <f t="shared" si="24"/>
        <v>0</v>
      </c>
      <c r="T113" s="2028">
        <f t="shared" si="24"/>
        <v>0</v>
      </c>
      <c r="U113" s="2028">
        <f t="shared" si="24"/>
        <v>0</v>
      </c>
      <c r="V113" s="2028">
        <f t="shared" si="24"/>
        <v>0</v>
      </c>
      <c r="W113" s="2028">
        <f t="shared" si="24"/>
        <v>0</v>
      </c>
      <c r="X113" s="2028">
        <f t="shared" si="24"/>
        <v>0</v>
      </c>
      <c r="Y113" s="2028">
        <f t="shared" si="24"/>
        <v>0</v>
      </c>
      <c r="Z113" s="2028">
        <f t="shared" si="24"/>
        <v>0</v>
      </c>
      <c r="AA113" s="2031" t="s">
        <v>2212</v>
      </c>
      <c r="AB113" s="2018" t="s">
        <v>280</v>
      </c>
    </row>
    <row r="114" spans="1:28" ht="210">
      <c r="A114" s="1718"/>
      <c r="B114" s="1718"/>
      <c r="C114" s="1718"/>
      <c r="D114" s="1908"/>
      <c r="E114" s="1750"/>
      <c r="F114" s="1750" t="s">
        <v>1704</v>
      </c>
      <c r="G114" s="1750" t="s">
        <v>1705</v>
      </c>
      <c r="H114" s="1931"/>
      <c r="I114" s="1931" t="s">
        <v>239</v>
      </c>
      <c r="J114" s="1931" t="s">
        <v>239</v>
      </c>
      <c r="K114" s="1931"/>
      <c r="L114" s="1934" t="s">
        <v>1706</v>
      </c>
      <c r="M114" s="1932">
        <f>70*1*50</f>
        <v>3500</v>
      </c>
      <c r="N114" s="1935"/>
      <c r="O114" s="1932"/>
      <c r="P114" s="1932"/>
      <c r="Q114" s="1932"/>
      <c r="R114" s="1932">
        <v>3500</v>
      </c>
      <c r="S114" s="1932"/>
      <c r="T114" s="1932"/>
      <c r="U114" s="1932"/>
      <c r="V114" s="1932"/>
      <c r="W114" s="1932"/>
      <c r="X114" s="1932"/>
      <c r="Y114" s="1932"/>
      <c r="Z114" s="1932"/>
      <c r="AA114" s="1933" t="s">
        <v>1698</v>
      </c>
      <c r="AB114" s="1906"/>
    </row>
    <row r="115" spans="1:28" ht="62.15" customHeight="1">
      <c r="A115" s="1718"/>
      <c r="B115" s="1718"/>
      <c r="C115" s="1718"/>
      <c r="D115" s="1908"/>
      <c r="E115" s="1750"/>
      <c r="F115" s="1750"/>
      <c r="G115" s="1750"/>
      <c r="H115" s="1931"/>
      <c r="I115" s="1931"/>
      <c r="J115" s="1931"/>
      <c r="K115" s="1931"/>
      <c r="L115" s="1934" t="s">
        <v>1707</v>
      </c>
      <c r="M115" s="1932">
        <f>25*2*50</f>
        <v>2500</v>
      </c>
      <c r="N115" s="1935"/>
      <c r="O115" s="1932"/>
      <c r="P115" s="1932"/>
      <c r="Q115" s="1932"/>
      <c r="R115" s="1932">
        <v>2500</v>
      </c>
      <c r="S115" s="1932"/>
      <c r="T115" s="1932"/>
      <c r="U115" s="1932"/>
      <c r="V115" s="1932"/>
      <c r="W115" s="1932"/>
      <c r="X115" s="1932"/>
      <c r="Y115" s="1932"/>
      <c r="Z115" s="1932"/>
      <c r="AA115" s="1933"/>
      <c r="AB115" s="1906"/>
    </row>
    <row r="116" spans="1:28">
      <c r="A116" s="1967">
        <v>1</v>
      </c>
      <c r="B116" s="1968">
        <v>2</v>
      </c>
      <c r="C116" s="1968">
        <v>2</v>
      </c>
      <c r="D116" s="2016">
        <v>26</v>
      </c>
      <c r="E116" s="1966" t="s">
        <v>1708</v>
      </c>
      <c r="F116" s="2018"/>
      <c r="G116" s="2018"/>
      <c r="H116" s="2018"/>
      <c r="I116" s="2018"/>
      <c r="J116" s="2018"/>
      <c r="K116" s="2018"/>
      <c r="L116" s="2018"/>
      <c r="M116" s="2018"/>
      <c r="N116" s="2034">
        <f>SUM(M117:M118)</f>
        <v>4800</v>
      </c>
      <c r="O116" s="2028">
        <f t="shared" ref="O116:Z116" si="25">SUM(O117:O117)</f>
        <v>0</v>
      </c>
      <c r="P116" s="2028">
        <f t="shared" si="25"/>
        <v>0</v>
      </c>
      <c r="Q116" s="2028">
        <f t="shared" si="25"/>
        <v>0</v>
      </c>
      <c r="R116" s="2028">
        <f t="shared" si="25"/>
        <v>0</v>
      </c>
      <c r="S116" s="2028">
        <f>SUM(S117:S118)</f>
        <v>4800</v>
      </c>
      <c r="T116" s="2028">
        <f t="shared" si="25"/>
        <v>0</v>
      </c>
      <c r="U116" s="2028">
        <f t="shared" si="25"/>
        <v>0</v>
      </c>
      <c r="V116" s="2028">
        <f t="shared" si="25"/>
        <v>0</v>
      </c>
      <c r="W116" s="2028">
        <f t="shared" si="25"/>
        <v>0</v>
      </c>
      <c r="X116" s="2028">
        <f t="shared" si="25"/>
        <v>0</v>
      </c>
      <c r="Y116" s="2028">
        <f t="shared" si="25"/>
        <v>0</v>
      </c>
      <c r="Z116" s="2028">
        <f t="shared" si="25"/>
        <v>0</v>
      </c>
      <c r="AA116" s="2018" t="s">
        <v>2212</v>
      </c>
      <c r="AB116" s="2018" t="s">
        <v>280</v>
      </c>
    </row>
    <row r="117" spans="1:28" ht="228.45" customHeight="1">
      <c r="A117" s="1718"/>
      <c r="B117" s="1718"/>
      <c r="C117" s="1718"/>
      <c r="D117" s="1908"/>
      <c r="E117" s="1750" t="s">
        <v>2280</v>
      </c>
      <c r="F117" s="1750" t="s">
        <v>1709</v>
      </c>
      <c r="G117" s="1750" t="s">
        <v>1710</v>
      </c>
      <c r="H117" s="1931"/>
      <c r="I117" s="1908" t="s">
        <v>239</v>
      </c>
      <c r="J117" s="1908" t="s">
        <v>239</v>
      </c>
      <c r="K117" s="1906"/>
      <c r="L117" s="1907" t="s">
        <v>1711</v>
      </c>
      <c r="M117" s="1936">
        <f>70*1*40</f>
        <v>2800</v>
      </c>
      <c r="N117" s="1937"/>
      <c r="O117" s="1905"/>
      <c r="P117" s="1905"/>
      <c r="Q117" s="1905"/>
      <c r="R117" s="1938"/>
      <c r="S117" s="1938">
        <v>2800</v>
      </c>
      <c r="T117" s="1905"/>
      <c r="U117" s="1938"/>
      <c r="V117" s="1905"/>
      <c r="W117" s="1905"/>
      <c r="X117" s="1905"/>
      <c r="Y117" s="1905"/>
      <c r="Z117" s="1905"/>
      <c r="AA117" s="1933" t="s">
        <v>1698</v>
      </c>
      <c r="AB117" s="1906"/>
    </row>
    <row r="118" spans="1:28" ht="45">
      <c r="A118" s="1718"/>
      <c r="B118" s="1718"/>
      <c r="C118" s="1718"/>
      <c r="D118" s="1939"/>
      <c r="E118" s="1940"/>
      <c r="F118" s="1941"/>
      <c r="G118" s="1864"/>
      <c r="H118" s="1942"/>
      <c r="I118" s="1939"/>
      <c r="J118" s="1939"/>
      <c r="K118" s="1943"/>
      <c r="L118" s="1944" t="s">
        <v>1712</v>
      </c>
      <c r="M118" s="1936">
        <f>25*2*40</f>
        <v>2000</v>
      </c>
      <c r="N118" s="1945"/>
      <c r="O118" s="1946"/>
      <c r="P118" s="1946"/>
      <c r="Q118" s="1946"/>
      <c r="R118" s="1947"/>
      <c r="S118" s="1947">
        <v>2000</v>
      </c>
      <c r="T118" s="1946"/>
      <c r="U118" s="1947"/>
      <c r="V118" s="1946"/>
      <c r="W118" s="1946"/>
      <c r="X118" s="1946"/>
      <c r="Y118" s="1946"/>
      <c r="Z118" s="1946"/>
      <c r="AA118" s="1933"/>
      <c r="AB118" s="1906"/>
    </row>
    <row r="119" spans="1:28">
      <c r="A119" s="1967">
        <v>1</v>
      </c>
      <c r="B119" s="1968">
        <v>2</v>
      </c>
      <c r="C119" s="1968">
        <v>2</v>
      </c>
      <c r="D119" s="2035">
        <v>27</v>
      </c>
      <c r="E119" s="3566" t="s">
        <v>1713</v>
      </c>
      <c r="F119" s="3567"/>
      <c r="G119" s="3568"/>
      <c r="H119" s="2036"/>
      <c r="I119" s="2036"/>
      <c r="J119" s="2036"/>
      <c r="K119" s="2036"/>
      <c r="L119" s="2037"/>
      <c r="M119" s="2038"/>
      <c r="N119" s="2038">
        <f>SUM(M120:M121)</f>
        <v>28800</v>
      </c>
      <c r="O119" s="2028">
        <f>SUM(O120:O121)</f>
        <v>0</v>
      </c>
      <c r="P119" s="2028">
        <f t="shared" ref="P119:Z119" si="26">SUM(P120:P121)</f>
        <v>0</v>
      </c>
      <c r="Q119" s="2028">
        <f t="shared" si="26"/>
        <v>7200</v>
      </c>
      <c r="R119" s="2028">
        <f t="shared" si="26"/>
        <v>0</v>
      </c>
      <c r="S119" s="2028">
        <f t="shared" si="26"/>
        <v>7200</v>
      </c>
      <c r="T119" s="2028">
        <f t="shared" si="26"/>
        <v>0</v>
      </c>
      <c r="U119" s="2028">
        <f t="shared" si="26"/>
        <v>7200</v>
      </c>
      <c r="V119" s="2028">
        <f t="shared" si="26"/>
        <v>0</v>
      </c>
      <c r="W119" s="2028">
        <f t="shared" si="26"/>
        <v>7200</v>
      </c>
      <c r="X119" s="2028">
        <f t="shared" si="26"/>
        <v>0</v>
      </c>
      <c r="Y119" s="2028">
        <f t="shared" si="26"/>
        <v>0</v>
      </c>
      <c r="Z119" s="2028">
        <f t="shared" si="26"/>
        <v>0</v>
      </c>
      <c r="AA119" s="2018" t="s">
        <v>2212</v>
      </c>
      <c r="AB119" s="2018" t="s">
        <v>280</v>
      </c>
    </row>
    <row r="120" spans="1:28" ht="120">
      <c r="A120" s="1718"/>
      <c r="B120" s="1718"/>
      <c r="C120" s="1718"/>
      <c r="D120" s="1908"/>
      <c r="E120" s="1907"/>
      <c r="F120" s="1794" t="s">
        <v>1714</v>
      </c>
      <c r="G120" s="1907" t="s">
        <v>1715</v>
      </c>
      <c r="H120" s="1909"/>
      <c r="I120" s="1931" t="s">
        <v>239</v>
      </c>
      <c r="J120" s="1908" t="s">
        <v>239</v>
      </c>
      <c r="K120" s="1931" t="s">
        <v>239</v>
      </c>
      <c r="L120" s="1907" t="s">
        <v>1716</v>
      </c>
      <c r="M120" s="1932">
        <f>70*4*60</f>
        <v>16800</v>
      </c>
      <c r="N120" s="1948"/>
      <c r="O120" s="1905"/>
      <c r="P120" s="1905"/>
      <c r="Q120" s="1938">
        <v>7200</v>
      </c>
      <c r="R120" s="1938"/>
      <c r="S120" s="1938">
        <v>7200</v>
      </c>
      <c r="T120" s="1938"/>
      <c r="U120" s="1938">
        <v>7200</v>
      </c>
      <c r="V120" s="1938"/>
      <c r="W120" s="1938">
        <v>7200</v>
      </c>
      <c r="X120" s="1905"/>
      <c r="Y120" s="1905"/>
      <c r="Z120" s="1905"/>
      <c r="AA120" s="1933" t="s">
        <v>1717</v>
      </c>
      <c r="AB120" s="1906"/>
    </row>
    <row r="121" spans="1:28" ht="45">
      <c r="A121" s="1718"/>
      <c r="B121" s="1718"/>
      <c r="C121" s="1718"/>
      <c r="D121" s="1908"/>
      <c r="E121" s="1907"/>
      <c r="F121" s="1794"/>
      <c r="G121" s="1907"/>
      <c r="H121" s="1909"/>
      <c r="I121" s="1931"/>
      <c r="J121" s="1908"/>
      <c r="K121" s="1931"/>
      <c r="L121" s="1907" t="s">
        <v>1718</v>
      </c>
      <c r="M121" s="1932">
        <f>25*8*60</f>
        <v>12000</v>
      </c>
      <c r="N121" s="1948"/>
      <c r="O121" s="1905"/>
      <c r="P121" s="1905"/>
      <c r="Q121" s="1938"/>
      <c r="R121" s="1938"/>
      <c r="S121" s="1938"/>
      <c r="T121" s="1938"/>
      <c r="U121" s="1938"/>
      <c r="V121" s="1938"/>
      <c r="W121" s="1938"/>
      <c r="X121" s="1905"/>
      <c r="Y121" s="1905"/>
      <c r="Z121" s="1905"/>
      <c r="AA121" s="1933"/>
      <c r="AB121" s="1906"/>
    </row>
    <row r="122" spans="1:28">
      <c r="A122" s="1955">
        <v>1</v>
      </c>
      <c r="B122" s="1955">
        <v>5</v>
      </c>
      <c r="C122" s="2039">
        <v>8</v>
      </c>
      <c r="D122" s="2035">
        <v>28</v>
      </c>
      <c r="E122" s="3566" t="s">
        <v>2257</v>
      </c>
      <c r="F122" s="3567"/>
      <c r="G122" s="3568"/>
      <c r="H122" s="2036"/>
      <c r="I122" s="2036"/>
      <c r="J122" s="2036"/>
      <c r="K122" s="2036"/>
      <c r="L122" s="2037"/>
      <c r="M122" s="2038"/>
      <c r="N122" s="2038">
        <f>SUM(M123:M126)</f>
        <v>10920</v>
      </c>
      <c r="O122" s="2028">
        <f>SUM(O123:O126)</f>
        <v>0</v>
      </c>
      <c r="P122" s="2028">
        <f t="shared" ref="P122:Z122" si="27">SUM(P123:P126)</f>
        <v>0</v>
      </c>
      <c r="Q122" s="2028">
        <f t="shared" si="27"/>
        <v>0</v>
      </c>
      <c r="R122" s="2028">
        <f t="shared" si="27"/>
        <v>0</v>
      </c>
      <c r="S122" s="2028">
        <f t="shared" si="27"/>
        <v>0</v>
      </c>
      <c r="T122" s="2028">
        <f t="shared" si="27"/>
        <v>0</v>
      </c>
      <c r="U122" s="2028">
        <f t="shared" si="27"/>
        <v>10920</v>
      </c>
      <c r="V122" s="2028">
        <f t="shared" si="27"/>
        <v>0</v>
      </c>
      <c r="W122" s="2028">
        <f t="shared" si="27"/>
        <v>0</v>
      </c>
      <c r="X122" s="2028">
        <f t="shared" si="27"/>
        <v>0</v>
      </c>
      <c r="Y122" s="2028">
        <f t="shared" si="27"/>
        <v>0</v>
      </c>
      <c r="Z122" s="2028">
        <f t="shared" si="27"/>
        <v>0</v>
      </c>
      <c r="AA122" s="2018" t="s">
        <v>2212</v>
      </c>
      <c r="AB122" s="2018" t="s">
        <v>1048</v>
      </c>
    </row>
    <row r="123" spans="1:28" ht="30">
      <c r="A123" s="1949"/>
      <c r="B123" s="1718"/>
      <c r="C123" s="1718"/>
      <c r="D123" s="1908"/>
      <c r="E123" s="1907" t="s">
        <v>2258</v>
      </c>
      <c r="F123" s="1794" t="s">
        <v>2259</v>
      </c>
      <c r="G123" s="3569" t="s">
        <v>2260</v>
      </c>
      <c r="H123" s="1909"/>
      <c r="I123" s="1931"/>
      <c r="J123" s="1908"/>
      <c r="K123" s="1931"/>
      <c r="L123" s="1907" t="s">
        <v>2261</v>
      </c>
      <c r="M123" s="1932"/>
      <c r="N123" s="1948"/>
      <c r="O123" s="1905"/>
      <c r="P123" s="1905"/>
      <c r="Q123" s="1938"/>
      <c r="R123" s="1938"/>
      <c r="S123" s="1938"/>
      <c r="T123" s="1938"/>
      <c r="U123" s="1938"/>
      <c r="V123" s="1938"/>
      <c r="W123" s="1938"/>
      <c r="X123" s="1905"/>
      <c r="Y123" s="1905"/>
      <c r="Z123" s="1905"/>
      <c r="AA123" s="1933"/>
      <c r="AB123" s="1906"/>
    </row>
    <row r="124" spans="1:28" ht="30">
      <c r="A124" s="1718"/>
      <c r="B124" s="1718"/>
      <c r="C124" s="1718"/>
      <c r="D124" s="1908"/>
      <c r="E124" s="1907"/>
      <c r="F124" s="1794" t="s">
        <v>2262</v>
      </c>
      <c r="G124" s="3570"/>
      <c r="H124" s="1909"/>
      <c r="I124" s="1931"/>
      <c r="J124" s="1908"/>
      <c r="K124" s="1931"/>
      <c r="L124" s="1907"/>
      <c r="M124" s="1932"/>
      <c r="N124" s="1948"/>
      <c r="O124" s="1905"/>
      <c r="P124" s="1905"/>
      <c r="Q124" s="1938"/>
      <c r="R124" s="1938"/>
      <c r="S124" s="1938"/>
      <c r="T124" s="1938"/>
      <c r="U124" s="1938"/>
      <c r="V124" s="1938"/>
      <c r="W124" s="1938"/>
      <c r="X124" s="1905"/>
      <c r="Y124" s="1905"/>
      <c r="Z124" s="1905"/>
      <c r="AA124" s="1933"/>
      <c r="AB124" s="1906"/>
    </row>
    <row r="125" spans="1:28" ht="45">
      <c r="A125" s="1718"/>
      <c r="B125" s="1718"/>
      <c r="C125" s="1718"/>
      <c r="D125" s="1908"/>
      <c r="E125" s="1907" t="s">
        <v>2263</v>
      </c>
      <c r="F125" s="1794" t="s">
        <v>2264</v>
      </c>
      <c r="G125" s="1907" t="s">
        <v>2265</v>
      </c>
      <c r="H125" s="1909"/>
      <c r="I125" s="1931"/>
      <c r="J125" s="1908"/>
      <c r="K125" s="1931"/>
      <c r="L125" s="1907"/>
      <c r="M125" s="1932"/>
      <c r="N125" s="1948"/>
      <c r="O125" s="1905"/>
      <c r="P125" s="1905"/>
      <c r="Q125" s="1938"/>
      <c r="R125" s="1938"/>
      <c r="S125" s="1938"/>
      <c r="T125" s="1938"/>
      <c r="U125" s="1938"/>
      <c r="V125" s="1938"/>
      <c r="W125" s="1938"/>
      <c r="X125" s="1905"/>
      <c r="Y125" s="1905"/>
      <c r="Z125" s="1905"/>
      <c r="AA125" s="1933"/>
      <c r="AB125" s="1906"/>
    </row>
    <row r="126" spans="1:28" ht="75">
      <c r="A126" s="1718"/>
      <c r="B126" s="1718"/>
      <c r="C126" s="1718"/>
      <c r="D126" s="1908"/>
      <c r="E126" s="1907"/>
      <c r="F126" s="1794"/>
      <c r="G126" s="1907" t="s">
        <v>2266</v>
      </c>
      <c r="H126" s="1909"/>
      <c r="I126" s="1931"/>
      <c r="J126" s="1908"/>
      <c r="K126" s="1931"/>
      <c r="L126" s="1907" t="s">
        <v>2267</v>
      </c>
      <c r="M126" s="1932">
        <f>120*13*7</f>
        <v>10920</v>
      </c>
      <c r="N126" s="1948"/>
      <c r="O126" s="1905"/>
      <c r="P126" s="1905"/>
      <c r="Q126" s="1938"/>
      <c r="R126" s="1938"/>
      <c r="S126" s="1938"/>
      <c r="T126" s="1938"/>
      <c r="U126" s="1938">
        <v>10920</v>
      </c>
      <c r="V126" s="1938"/>
      <c r="W126" s="1938"/>
      <c r="X126" s="1905"/>
      <c r="Y126" s="1905"/>
      <c r="Z126" s="1905"/>
      <c r="AA126" s="1933"/>
      <c r="AB126" s="1906"/>
    </row>
    <row r="127" spans="1:28">
      <c r="A127" s="1718"/>
      <c r="B127" s="1718"/>
      <c r="C127" s="1718"/>
      <c r="D127" s="1908"/>
      <c r="E127" s="1907"/>
      <c r="F127" s="1794"/>
      <c r="G127" s="1907"/>
      <c r="H127" s="1909"/>
      <c r="I127" s="1931"/>
      <c r="J127" s="1908"/>
      <c r="K127" s="1931"/>
      <c r="L127" s="1907"/>
      <c r="M127" s="1932"/>
      <c r="N127" s="1948"/>
      <c r="O127" s="1905"/>
      <c r="P127" s="1905"/>
      <c r="Q127" s="1938"/>
      <c r="R127" s="1938"/>
      <c r="S127" s="1938"/>
      <c r="T127" s="1938"/>
      <c r="U127" s="1938"/>
      <c r="V127" s="1938"/>
      <c r="W127" s="1938"/>
      <c r="X127" s="1905"/>
      <c r="Y127" s="1905"/>
      <c r="Z127" s="1905"/>
      <c r="AA127" s="1933"/>
      <c r="AB127" s="1906"/>
    </row>
    <row r="128" spans="1:28">
      <c r="N128" s="1951">
        <f>SUM(N11,N17,N25,N32,N42,N46,N48,N52,N54,N58,N61,N63,N67,N77,N81,N85,N88,N90,N95,N97,N99,N104,N107,N110,N113,N116,N119,N122)</f>
        <v>506630</v>
      </c>
      <c r="O128" s="1951">
        <f t="shared" ref="O128:Z128" si="28">SUM(O119:O127,O116,O113,O110,O107,O104,O99,O97,O95,O90,O88,O85,O81,O77,O67,O63,O61,O58,O54,O52,O48,O46,O42,O32,O25,O17,O11)</f>
        <v>94200</v>
      </c>
      <c r="P128" s="1951">
        <f t="shared" si="28"/>
        <v>27000</v>
      </c>
      <c r="Q128" s="1951">
        <f t="shared" si="28"/>
        <v>70850</v>
      </c>
      <c r="R128" s="1951">
        <f t="shared" si="28"/>
        <v>60855</v>
      </c>
      <c r="S128" s="1951">
        <f t="shared" si="28"/>
        <v>58730</v>
      </c>
      <c r="T128" s="1951">
        <f t="shared" si="28"/>
        <v>30900</v>
      </c>
      <c r="U128" s="1951">
        <f t="shared" si="28"/>
        <v>59740</v>
      </c>
      <c r="V128" s="1951">
        <f t="shared" si="28"/>
        <v>12625</v>
      </c>
      <c r="W128" s="1951">
        <f t="shared" si="28"/>
        <v>51300</v>
      </c>
      <c r="X128" s="1951">
        <f t="shared" si="28"/>
        <v>30850</v>
      </c>
      <c r="Y128" s="1951">
        <f t="shared" si="28"/>
        <v>16100</v>
      </c>
      <c r="Z128" s="1951">
        <f t="shared" si="28"/>
        <v>33200</v>
      </c>
    </row>
    <row r="129" spans="14:26">
      <c r="O129" s="1952">
        <f>O128/$N$128*100</f>
        <v>18.593450841837239</v>
      </c>
      <c r="P129" s="1952">
        <f t="shared" ref="P129:Z129" si="29">P128/$N$128*100</f>
        <v>5.329333043838699</v>
      </c>
      <c r="Q129" s="1952">
        <f t="shared" si="29"/>
        <v>13.984564672443401</v>
      </c>
      <c r="R129" s="1952">
        <f t="shared" si="29"/>
        <v>12.011724532696446</v>
      </c>
      <c r="S129" s="1952">
        <f t="shared" si="29"/>
        <v>11.592286283875806</v>
      </c>
      <c r="T129" s="1952">
        <f t="shared" si="29"/>
        <v>6.0991255946153995</v>
      </c>
      <c r="U129" s="1952">
        <f t="shared" si="29"/>
        <v>11.79164281625644</v>
      </c>
      <c r="V129" s="1952">
        <f t="shared" si="29"/>
        <v>2.4919566547579102</v>
      </c>
      <c r="W129" s="1952">
        <f t="shared" si="29"/>
        <v>10.125732783293529</v>
      </c>
      <c r="X129" s="1952">
        <f t="shared" si="29"/>
        <v>6.0892564593490315</v>
      </c>
      <c r="Y129" s="1952">
        <f t="shared" si="29"/>
        <v>3.1778615557704839</v>
      </c>
      <c r="Z129" s="1952">
        <f t="shared" si="29"/>
        <v>6.5531058168683263</v>
      </c>
    </row>
    <row r="130" spans="14:26">
      <c r="O130" s="1953">
        <f>O129+N130</f>
        <v>18.593450841837239</v>
      </c>
      <c r="P130" s="1953">
        <f>P129+O130</f>
        <v>23.922783885675937</v>
      </c>
      <c r="Q130" s="1953">
        <f t="shared" ref="Q130:Z130" si="30">Q129+P130</f>
        <v>37.907348558119338</v>
      </c>
      <c r="R130" s="1953">
        <f t="shared" si="30"/>
        <v>49.919073090815786</v>
      </c>
      <c r="S130" s="1953">
        <f t="shared" si="30"/>
        <v>61.511359374691594</v>
      </c>
      <c r="T130" s="1953">
        <f t="shared" si="30"/>
        <v>67.610484969306995</v>
      </c>
      <c r="U130" s="1953">
        <f t="shared" si="30"/>
        <v>79.402127785563437</v>
      </c>
      <c r="V130" s="1953">
        <f t="shared" si="30"/>
        <v>81.89408444032135</v>
      </c>
      <c r="W130" s="1953">
        <f t="shared" si="30"/>
        <v>92.019817223614879</v>
      </c>
      <c r="X130" s="1953">
        <f t="shared" si="30"/>
        <v>98.10907368296391</v>
      </c>
      <c r="Y130" s="1953">
        <f t="shared" si="30"/>
        <v>101.2869352387344</v>
      </c>
      <c r="Z130" s="1953">
        <f t="shared" si="30"/>
        <v>107.84004105560273</v>
      </c>
    </row>
    <row r="131" spans="14:26">
      <c r="N131" s="1954">
        <f>SUM(O128:Z128)</f>
        <v>546350</v>
      </c>
    </row>
    <row r="132" spans="14:26">
      <c r="N132" s="1952">
        <f>N128/N131*100</f>
        <v>92.729935023336679</v>
      </c>
    </row>
    <row r="134" spans="14:26">
      <c r="N134" s="1954">
        <f>N131-N128</f>
        <v>39720</v>
      </c>
    </row>
  </sheetData>
  <autoFilter ref="A11:AG18" xr:uid="{11E0E488-562E-4814-9236-30B58E804E39}">
    <filterColumn colId="3">
      <colorFilter dxfId="0"/>
    </filterColumn>
  </autoFilter>
  <mergeCells count="31">
    <mergeCell ref="D1:AB1"/>
    <mergeCell ref="E8:E10"/>
    <mergeCell ref="F8:F10"/>
    <mergeCell ref="G8:G10"/>
    <mergeCell ref="H8:K9"/>
    <mergeCell ref="AA8:AA10"/>
    <mergeCell ref="AB8:AB10"/>
    <mergeCell ref="D91:D92"/>
    <mergeCell ref="O9:Q9"/>
    <mergeCell ref="R9:T9"/>
    <mergeCell ref="U9:W9"/>
    <mergeCell ref="C8:C10"/>
    <mergeCell ref="D8:D10"/>
    <mergeCell ref="L8:M9"/>
    <mergeCell ref="N8:N10"/>
    <mergeCell ref="O8:Z8"/>
    <mergeCell ref="X9:Z9"/>
    <mergeCell ref="E17:G17"/>
    <mergeCell ref="E25:G25"/>
    <mergeCell ref="E32:G32"/>
    <mergeCell ref="G70:G73"/>
    <mergeCell ref="E74:E76"/>
    <mergeCell ref="F108:F109"/>
    <mergeCell ref="E119:G119"/>
    <mergeCell ref="E122:G122"/>
    <mergeCell ref="G123:G124"/>
    <mergeCell ref="E90:F90"/>
    <mergeCell ref="E91:E92"/>
    <mergeCell ref="F91:F92"/>
    <mergeCell ref="G91:G92"/>
    <mergeCell ref="E107:G107"/>
  </mergeCells>
  <conditionalFormatting sqref="O128:Z128">
    <cfRule type="dataBar" priority="2">
      <dataBar>
        <cfvo type="min"/>
        <cfvo type="max"/>
        <color rgb="FF63C384"/>
      </dataBar>
      <extLst>
        <ext xmlns:x14="http://schemas.microsoft.com/office/spreadsheetml/2009/9/main" uri="{B025F937-C7B1-47D3-B67F-A62EFF666E3E}">
          <x14:id>{F422D807-1666-45BE-A8D3-1CD76ECE8FF0}</x14:id>
        </ext>
      </extLst>
    </cfRule>
  </conditionalFormatting>
  <conditionalFormatting sqref="N128:Z128">
    <cfRule type="dataBar" priority="1">
      <dataBar>
        <cfvo type="min"/>
        <cfvo type="max"/>
        <color rgb="FF638EC6"/>
      </dataBar>
      <extLst>
        <ext xmlns:x14="http://schemas.microsoft.com/office/spreadsheetml/2009/9/main" uri="{B025F937-C7B1-47D3-B67F-A62EFF666E3E}">
          <x14:id>{D8279127-C7BA-4E07-9068-30E045DE5217}</x14:id>
        </ext>
      </extLst>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F422D807-1666-45BE-A8D3-1CD76ECE8FF0}">
            <x14:dataBar minLength="0" maxLength="100" gradient="0">
              <x14:cfvo type="autoMin"/>
              <x14:cfvo type="autoMax"/>
              <x14:negativeFillColor rgb="FFFF0000"/>
              <x14:axisColor rgb="FF000000"/>
            </x14:dataBar>
          </x14:cfRule>
          <xm:sqref>O128:Z128</xm:sqref>
        </x14:conditionalFormatting>
        <x14:conditionalFormatting xmlns:xm="http://schemas.microsoft.com/office/excel/2006/main">
          <x14:cfRule type="dataBar" id="{D8279127-C7BA-4E07-9068-30E045DE5217}">
            <x14:dataBar minLength="0" maxLength="100" gradient="0">
              <x14:cfvo type="autoMin"/>
              <x14:cfvo type="autoMax"/>
              <x14:negativeFillColor rgb="FFFF0000"/>
              <x14:axisColor rgb="FF000000"/>
            </x14:dataBar>
          </x14:cfRule>
          <xm:sqref>N128:Z128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2FC10-266D-49FA-8C24-DBBA66D19B86}">
  <sheetPr>
    <tabColor rgb="FF92D050"/>
  </sheetPr>
  <dimension ref="A1:AE129"/>
  <sheetViews>
    <sheetView topLeftCell="A58" zoomScale="60" zoomScaleNormal="60" workbookViewId="0">
      <selection activeCell="L61" sqref="L61"/>
    </sheetView>
  </sheetViews>
  <sheetFormatPr defaultRowHeight="24"/>
  <cols>
    <col min="1" max="1" width="3" style="961" customWidth="1"/>
    <col min="2" max="2" width="6.2109375" style="961" customWidth="1"/>
    <col min="3" max="3" width="5.42578125" style="961" customWidth="1"/>
    <col min="4" max="4" width="5.78515625" style="961" customWidth="1"/>
    <col min="5" max="5" width="29" style="944" customWidth="1"/>
    <col min="6" max="6" width="35.5703125" style="944" customWidth="1"/>
    <col min="7" max="7" width="31.5" style="944" customWidth="1"/>
    <col min="8" max="8" width="3.92578125" style="944" customWidth="1"/>
    <col min="9" max="9" width="4.2109375" style="944" customWidth="1"/>
    <col min="10" max="10" width="4.5" style="944" customWidth="1"/>
    <col min="11" max="11" width="4" style="944" customWidth="1"/>
    <col min="12" max="12" width="48.7109375" style="1070" customWidth="1"/>
    <col min="13" max="13" width="9.78515625" style="944" customWidth="1"/>
    <col min="14" max="14" width="9.7109375" style="961" customWidth="1"/>
    <col min="15" max="15" width="9.5" style="944" customWidth="1"/>
    <col min="16" max="16" width="9.0703125" style="944" customWidth="1"/>
    <col min="17" max="17" width="8.92578125" style="961" customWidth="1"/>
    <col min="18" max="19" width="9.92578125" style="944" customWidth="1"/>
    <col min="20" max="20" width="9.0703125" style="944" customWidth="1"/>
    <col min="21" max="21" width="9.78515625" style="944" customWidth="1"/>
    <col min="22" max="22" width="11.92578125" style="944" customWidth="1"/>
    <col min="23" max="23" width="8.42578125" style="944" customWidth="1"/>
    <col min="24" max="24" width="9.28515625" style="944" customWidth="1"/>
    <col min="25" max="25" width="10.28515625" style="944" customWidth="1"/>
    <col min="26" max="26" width="8" style="944" customWidth="1"/>
    <col min="27" max="27" width="15.42578125" style="944" customWidth="1"/>
    <col min="28" max="28" width="12.0703125" style="944" customWidth="1"/>
    <col min="29" max="29" width="7.0703125" style="944" customWidth="1"/>
    <col min="30" max="255" width="9.140625" style="944"/>
    <col min="256" max="256" width="4.42578125" style="944" customWidth="1"/>
    <col min="257" max="257" width="20.5703125" style="944" customWidth="1"/>
    <col min="258" max="258" width="12.42578125" style="944" customWidth="1"/>
    <col min="259" max="259" width="12.5703125" style="944" customWidth="1"/>
    <col min="260" max="260" width="3.92578125" style="944" customWidth="1"/>
    <col min="261" max="261" width="4.2109375" style="944" customWidth="1"/>
    <col min="262" max="262" width="4.0703125" style="944" customWidth="1"/>
    <col min="263" max="263" width="4" style="944" customWidth="1"/>
    <col min="264" max="264" width="16.42578125" style="944" customWidth="1"/>
    <col min="265" max="265" width="5.5703125" style="944" customWidth="1"/>
    <col min="266" max="266" width="8.7109375" style="944" customWidth="1"/>
    <col min="267" max="267" width="5.42578125" style="944" customWidth="1"/>
    <col min="268" max="268" width="4.42578125" style="944" customWidth="1"/>
    <col min="269" max="269" width="4.2109375" style="944" customWidth="1"/>
    <col min="270" max="270" width="3.0703125" style="944" customWidth="1"/>
    <col min="271" max="271" width="4.5703125" style="944" customWidth="1"/>
    <col min="272" max="272" width="4.42578125" style="944" customWidth="1"/>
    <col min="273" max="273" width="4" style="944" customWidth="1"/>
    <col min="274" max="274" width="3" style="944" customWidth="1"/>
    <col min="275" max="275" width="3.92578125" style="944" customWidth="1"/>
    <col min="276" max="276" width="4.42578125" style="944" customWidth="1"/>
    <col min="277" max="277" width="3.42578125" style="944" customWidth="1"/>
    <col min="278" max="278" width="4.92578125" style="944" customWidth="1"/>
    <col min="279" max="279" width="10.5703125" style="944" customWidth="1"/>
    <col min="280" max="280" width="7.0703125" style="944" customWidth="1"/>
    <col min="281" max="281" width="8.0703125" style="944" customWidth="1"/>
    <col min="282" max="282" width="7.5703125" style="944" customWidth="1"/>
    <col min="283" max="284" width="7.7109375" style="944" customWidth="1"/>
    <col min="285" max="285" width="7.0703125" style="944" customWidth="1"/>
    <col min="286" max="511" width="9.140625" style="944"/>
    <col min="512" max="512" width="4.42578125" style="944" customWidth="1"/>
    <col min="513" max="513" width="20.5703125" style="944" customWidth="1"/>
    <col min="514" max="514" width="12.42578125" style="944" customWidth="1"/>
    <col min="515" max="515" width="12.5703125" style="944" customWidth="1"/>
    <col min="516" max="516" width="3.92578125" style="944" customWidth="1"/>
    <col min="517" max="517" width="4.2109375" style="944" customWidth="1"/>
    <col min="518" max="518" width="4.0703125" style="944" customWidth="1"/>
    <col min="519" max="519" width="4" style="944" customWidth="1"/>
    <col min="520" max="520" width="16.42578125" style="944" customWidth="1"/>
    <col min="521" max="521" width="5.5703125" style="944" customWidth="1"/>
    <col min="522" max="522" width="8.7109375" style="944" customWidth="1"/>
    <col min="523" max="523" width="5.42578125" style="944" customWidth="1"/>
    <col min="524" max="524" width="4.42578125" style="944" customWidth="1"/>
    <col min="525" max="525" width="4.2109375" style="944" customWidth="1"/>
    <col min="526" max="526" width="3.0703125" style="944" customWidth="1"/>
    <col min="527" max="527" width="4.5703125" style="944" customWidth="1"/>
    <col min="528" max="528" width="4.42578125" style="944" customWidth="1"/>
    <col min="529" max="529" width="4" style="944" customWidth="1"/>
    <col min="530" max="530" width="3" style="944" customWidth="1"/>
    <col min="531" max="531" width="3.92578125" style="944" customWidth="1"/>
    <col min="532" max="532" width="4.42578125" style="944" customWidth="1"/>
    <col min="533" max="533" width="3.42578125" style="944" customWidth="1"/>
    <col min="534" max="534" width="4.92578125" style="944" customWidth="1"/>
    <col min="535" max="535" width="10.5703125" style="944" customWidth="1"/>
    <col min="536" max="536" width="7.0703125" style="944" customWidth="1"/>
    <col min="537" max="537" width="8.0703125" style="944" customWidth="1"/>
    <col min="538" max="538" width="7.5703125" style="944" customWidth="1"/>
    <col min="539" max="540" width="7.7109375" style="944" customWidth="1"/>
    <col min="541" max="541" width="7.0703125" style="944" customWidth="1"/>
    <col min="542" max="767" width="9.140625" style="944"/>
    <col min="768" max="768" width="4.42578125" style="944" customWidth="1"/>
    <col min="769" max="769" width="20.5703125" style="944" customWidth="1"/>
    <col min="770" max="770" width="12.42578125" style="944" customWidth="1"/>
    <col min="771" max="771" width="12.5703125" style="944" customWidth="1"/>
    <col min="772" max="772" width="3.92578125" style="944" customWidth="1"/>
    <col min="773" max="773" width="4.2109375" style="944" customWidth="1"/>
    <col min="774" max="774" width="4.0703125" style="944" customWidth="1"/>
    <col min="775" max="775" width="4" style="944" customWidth="1"/>
    <col min="776" max="776" width="16.42578125" style="944" customWidth="1"/>
    <col min="777" max="777" width="5.5703125" style="944" customWidth="1"/>
    <col min="778" max="778" width="8.7109375" style="944" customWidth="1"/>
    <col min="779" max="779" width="5.42578125" style="944" customWidth="1"/>
    <col min="780" max="780" width="4.42578125" style="944" customWidth="1"/>
    <col min="781" max="781" width="4.2109375" style="944" customWidth="1"/>
    <col min="782" max="782" width="3.0703125" style="944" customWidth="1"/>
    <col min="783" max="783" width="4.5703125" style="944" customWidth="1"/>
    <col min="784" max="784" width="4.42578125" style="944" customWidth="1"/>
    <col min="785" max="785" width="4" style="944" customWidth="1"/>
    <col min="786" max="786" width="3" style="944" customWidth="1"/>
    <col min="787" max="787" width="3.92578125" style="944" customWidth="1"/>
    <col min="788" max="788" width="4.42578125" style="944" customWidth="1"/>
    <col min="789" max="789" width="3.42578125" style="944" customWidth="1"/>
    <col min="790" max="790" width="4.92578125" style="944" customWidth="1"/>
    <col min="791" max="791" width="10.5703125" style="944" customWidth="1"/>
    <col min="792" max="792" width="7.0703125" style="944" customWidth="1"/>
    <col min="793" max="793" width="8.0703125" style="944" customWidth="1"/>
    <col min="794" max="794" width="7.5703125" style="944" customWidth="1"/>
    <col min="795" max="796" width="7.7109375" style="944" customWidth="1"/>
    <col min="797" max="797" width="7.0703125" style="944" customWidth="1"/>
    <col min="798" max="1023" width="9.140625" style="944"/>
    <col min="1024" max="1024" width="4.42578125" style="944" customWidth="1"/>
    <col min="1025" max="1025" width="20.5703125" style="944" customWidth="1"/>
    <col min="1026" max="1026" width="12.42578125" style="944" customWidth="1"/>
    <col min="1027" max="1027" width="12.5703125" style="944" customWidth="1"/>
    <col min="1028" max="1028" width="3.92578125" style="944" customWidth="1"/>
    <col min="1029" max="1029" width="4.2109375" style="944" customWidth="1"/>
    <col min="1030" max="1030" width="4.0703125" style="944" customWidth="1"/>
    <col min="1031" max="1031" width="4" style="944" customWidth="1"/>
    <col min="1032" max="1032" width="16.42578125" style="944" customWidth="1"/>
    <col min="1033" max="1033" width="5.5703125" style="944" customWidth="1"/>
    <col min="1034" max="1034" width="8.7109375" style="944" customWidth="1"/>
    <col min="1035" max="1035" width="5.42578125" style="944" customWidth="1"/>
    <col min="1036" max="1036" width="4.42578125" style="944" customWidth="1"/>
    <col min="1037" max="1037" width="4.2109375" style="944" customWidth="1"/>
    <col min="1038" max="1038" width="3.0703125" style="944" customWidth="1"/>
    <col min="1039" max="1039" width="4.5703125" style="944" customWidth="1"/>
    <col min="1040" max="1040" width="4.42578125" style="944" customWidth="1"/>
    <col min="1041" max="1041" width="4" style="944" customWidth="1"/>
    <col min="1042" max="1042" width="3" style="944" customWidth="1"/>
    <col min="1043" max="1043" width="3.92578125" style="944" customWidth="1"/>
    <col min="1044" max="1044" width="4.42578125" style="944" customWidth="1"/>
    <col min="1045" max="1045" width="3.42578125" style="944" customWidth="1"/>
    <col min="1046" max="1046" width="4.92578125" style="944" customWidth="1"/>
    <col min="1047" max="1047" width="10.5703125" style="944" customWidth="1"/>
    <col min="1048" max="1048" width="7.0703125" style="944" customWidth="1"/>
    <col min="1049" max="1049" width="8.0703125" style="944" customWidth="1"/>
    <col min="1050" max="1050" width="7.5703125" style="944" customWidth="1"/>
    <col min="1051" max="1052" width="7.7109375" style="944" customWidth="1"/>
    <col min="1053" max="1053" width="7.0703125" style="944" customWidth="1"/>
    <col min="1054" max="1279" width="9.140625" style="944"/>
    <col min="1280" max="1280" width="4.42578125" style="944" customWidth="1"/>
    <col min="1281" max="1281" width="20.5703125" style="944" customWidth="1"/>
    <col min="1282" max="1282" width="12.42578125" style="944" customWidth="1"/>
    <col min="1283" max="1283" width="12.5703125" style="944" customWidth="1"/>
    <col min="1284" max="1284" width="3.92578125" style="944" customWidth="1"/>
    <col min="1285" max="1285" width="4.2109375" style="944" customWidth="1"/>
    <col min="1286" max="1286" width="4.0703125" style="944" customWidth="1"/>
    <col min="1287" max="1287" width="4" style="944" customWidth="1"/>
    <col min="1288" max="1288" width="16.42578125" style="944" customWidth="1"/>
    <col min="1289" max="1289" width="5.5703125" style="944" customWidth="1"/>
    <col min="1290" max="1290" width="8.7109375" style="944" customWidth="1"/>
    <col min="1291" max="1291" width="5.42578125" style="944" customWidth="1"/>
    <col min="1292" max="1292" width="4.42578125" style="944" customWidth="1"/>
    <col min="1293" max="1293" width="4.2109375" style="944" customWidth="1"/>
    <col min="1294" max="1294" width="3.0703125" style="944" customWidth="1"/>
    <col min="1295" max="1295" width="4.5703125" style="944" customWidth="1"/>
    <col min="1296" max="1296" width="4.42578125" style="944" customWidth="1"/>
    <col min="1297" max="1297" width="4" style="944" customWidth="1"/>
    <col min="1298" max="1298" width="3" style="944" customWidth="1"/>
    <col min="1299" max="1299" width="3.92578125" style="944" customWidth="1"/>
    <col min="1300" max="1300" width="4.42578125" style="944" customWidth="1"/>
    <col min="1301" max="1301" width="3.42578125" style="944" customWidth="1"/>
    <col min="1302" max="1302" width="4.92578125" style="944" customWidth="1"/>
    <col min="1303" max="1303" width="10.5703125" style="944" customWidth="1"/>
    <col min="1304" max="1304" width="7.0703125" style="944" customWidth="1"/>
    <col min="1305" max="1305" width="8.0703125" style="944" customWidth="1"/>
    <col min="1306" max="1306" width="7.5703125" style="944" customWidth="1"/>
    <col min="1307" max="1308" width="7.7109375" style="944" customWidth="1"/>
    <col min="1309" max="1309" width="7.0703125" style="944" customWidth="1"/>
    <col min="1310" max="1535" width="9.140625" style="944"/>
    <col min="1536" max="1536" width="4.42578125" style="944" customWidth="1"/>
    <col min="1537" max="1537" width="20.5703125" style="944" customWidth="1"/>
    <col min="1538" max="1538" width="12.42578125" style="944" customWidth="1"/>
    <col min="1539" max="1539" width="12.5703125" style="944" customWidth="1"/>
    <col min="1540" max="1540" width="3.92578125" style="944" customWidth="1"/>
    <col min="1541" max="1541" width="4.2109375" style="944" customWidth="1"/>
    <col min="1542" max="1542" width="4.0703125" style="944" customWidth="1"/>
    <col min="1543" max="1543" width="4" style="944" customWidth="1"/>
    <col min="1544" max="1544" width="16.42578125" style="944" customWidth="1"/>
    <col min="1545" max="1545" width="5.5703125" style="944" customWidth="1"/>
    <col min="1546" max="1546" width="8.7109375" style="944" customWidth="1"/>
    <col min="1547" max="1547" width="5.42578125" style="944" customWidth="1"/>
    <col min="1548" max="1548" width="4.42578125" style="944" customWidth="1"/>
    <col min="1549" max="1549" width="4.2109375" style="944" customWidth="1"/>
    <col min="1550" max="1550" width="3.0703125" style="944" customWidth="1"/>
    <col min="1551" max="1551" width="4.5703125" style="944" customWidth="1"/>
    <col min="1552" max="1552" width="4.42578125" style="944" customWidth="1"/>
    <col min="1553" max="1553" width="4" style="944" customWidth="1"/>
    <col min="1554" max="1554" width="3" style="944" customWidth="1"/>
    <col min="1555" max="1555" width="3.92578125" style="944" customWidth="1"/>
    <col min="1556" max="1556" width="4.42578125" style="944" customWidth="1"/>
    <col min="1557" max="1557" width="3.42578125" style="944" customWidth="1"/>
    <col min="1558" max="1558" width="4.92578125" style="944" customWidth="1"/>
    <col min="1559" max="1559" width="10.5703125" style="944" customWidth="1"/>
    <col min="1560" max="1560" width="7.0703125" style="944" customWidth="1"/>
    <col min="1561" max="1561" width="8.0703125" style="944" customWidth="1"/>
    <col min="1562" max="1562" width="7.5703125" style="944" customWidth="1"/>
    <col min="1563" max="1564" width="7.7109375" style="944" customWidth="1"/>
    <col min="1565" max="1565" width="7.0703125" style="944" customWidth="1"/>
    <col min="1566" max="1791" width="9.140625" style="944"/>
    <col min="1792" max="1792" width="4.42578125" style="944" customWidth="1"/>
    <col min="1793" max="1793" width="20.5703125" style="944" customWidth="1"/>
    <col min="1794" max="1794" width="12.42578125" style="944" customWidth="1"/>
    <col min="1795" max="1795" width="12.5703125" style="944" customWidth="1"/>
    <col min="1796" max="1796" width="3.92578125" style="944" customWidth="1"/>
    <col min="1797" max="1797" width="4.2109375" style="944" customWidth="1"/>
    <col min="1798" max="1798" width="4.0703125" style="944" customWidth="1"/>
    <col min="1799" max="1799" width="4" style="944" customWidth="1"/>
    <col min="1800" max="1800" width="16.42578125" style="944" customWidth="1"/>
    <col min="1801" max="1801" width="5.5703125" style="944" customWidth="1"/>
    <col min="1802" max="1802" width="8.7109375" style="944" customWidth="1"/>
    <col min="1803" max="1803" width="5.42578125" style="944" customWidth="1"/>
    <col min="1804" max="1804" width="4.42578125" style="944" customWidth="1"/>
    <col min="1805" max="1805" width="4.2109375" style="944" customWidth="1"/>
    <col min="1806" max="1806" width="3.0703125" style="944" customWidth="1"/>
    <col min="1807" max="1807" width="4.5703125" style="944" customWidth="1"/>
    <col min="1808" max="1808" width="4.42578125" style="944" customWidth="1"/>
    <col min="1809" max="1809" width="4" style="944" customWidth="1"/>
    <col min="1810" max="1810" width="3" style="944" customWidth="1"/>
    <col min="1811" max="1811" width="3.92578125" style="944" customWidth="1"/>
    <col min="1812" max="1812" width="4.42578125" style="944" customWidth="1"/>
    <col min="1813" max="1813" width="3.42578125" style="944" customWidth="1"/>
    <col min="1814" max="1814" width="4.92578125" style="944" customWidth="1"/>
    <col min="1815" max="1815" width="10.5703125" style="944" customWidth="1"/>
    <col min="1816" max="1816" width="7.0703125" style="944" customWidth="1"/>
    <col min="1817" max="1817" width="8.0703125" style="944" customWidth="1"/>
    <col min="1818" max="1818" width="7.5703125" style="944" customWidth="1"/>
    <col min="1819" max="1820" width="7.7109375" style="944" customWidth="1"/>
    <col min="1821" max="1821" width="7.0703125" style="944" customWidth="1"/>
    <col min="1822" max="2047" width="9.140625" style="944"/>
    <col min="2048" max="2048" width="4.42578125" style="944" customWidth="1"/>
    <col min="2049" max="2049" width="20.5703125" style="944" customWidth="1"/>
    <col min="2050" max="2050" width="12.42578125" style="944" customWidth="1"/>
    <col min="2051" max="2051" width="12.5703125" style="944" customWidth="1"/>
    <col min="2052" max="2052" width="3.92578125" style="944" customWidth="1"/>
    <col min="2053" max="2053" width="4.2109375" style="944" customWidth="1"/>
    <col min="2054" max="2054" width="4.0703125" style="944" customWidth="1"/>
    <col min="2055" max="2055" width="4" style="944" customWidth="1"/>
    <col min="2056" max="2056" width="16.42578125" style="944" customWidth="1"/>
    <col min="2057" max="2057" width="5.5703125" style="944" customWidth="1"/>
    <col min="2058" max="2058" width="8.7109375" style="944" customWidth="1"/>
    <col min="2059" max="2059" width="5.42578125" style="944" customWidth="1"/>
    <col min="2060" max="2060" width="4.42578125" style="944" customWidth="1"/>
    <col min="2061" max="2061" width="4.2109375" style="944" customWidth="1"/>
    <col min="2062" max="2062" width="3.0703125" style="944" customWidth="1"/>
    <col min="2063" max="2063" width="4.5703125" style="944" customWidth="1"/>
    <col min="2064" max="2064" width="4.42578125" style="944" customWidth="1"/>
    <col min="2065" max="2065" width="4" style="944" customWidth="1"/>
    <col min="2066" max="2066" width="3" style="944" customWidth="1"/>
    <col min="2067" max="2067" width="3.92578125" style="944" customWidth="1"/>
    <col min="2068" max="2068" width="4.42578125" style="944" customWidth="1"/>
    <col min="2069" max="2069" width="3.42578125" style="944" customWidth="1"/>
    <col min="2070" max="2070" width="4.92578125" style="944" customWidth="1"/>
    <col min="2071" max="2071" width="10.5703125" style="944" customWidth="1"/>
    <col min="2072" max="2072" width="7.0703125" style="944" customWidth="1"/>
    <col min="2073" max="2073" width="8.0703125" style="944" customWidth="1"/>
    <col min="2074" max="2074" width="7.5703125" style="944" customWidth="1"/>
    <col min="2075" max="2076" width="7.7109375" style="944" customWidth="1"/>
    <col min="2077" max="2077" width="7.0703125" style="944" customWidth="1"/>
    <col min="2078" max="2303" width="9.140625" style="944"/>
    <col min="2304" max="2304" width="4.42578125" style="944" customWidth="1"/>
    <col min="2305" max="2305" width="20.5703125" style="944" customWidth="1"/>
    <col min="2306" max="2306" width="12.42578125" style="944" customWidth="1"/>
    <col min="2307" max="2307" width="12.5703125" style="944" customWidth="1"/>
    <col min="2308" max="2308" width="3.92578125" style="944" customWidth="1"/>
    <col min="2309" max="2309" width="4.2109375" style="944" customWidth="1"/>
    <col min="2310" max="2310" width="4.0703125" style="944" customWidth="1"/>
    <col min="2311" max="2311" width="4" style="944" customWidth="1"/>
    <col min="2312" max="2312" width="16.42578125" style="944" customWidth="1"/>
    <col min="2313" max="2313" width="5.5703125" style="944" customWidth="1"/>
    <col min="2314" max="2314" width="8.7109375" style="944" customWidth="1"/>
    <col min="2315" max="2315" width="5.42578125" style="944" customWidth="1"/>
    <col min="2316" max="2316" width="4.42578125" style="944" customWidth="1"/>
    <col min="2317" max="2317" width="4.2109375" style="944" customWidth="1"/>
    <col min="2318" max="2318" width="3.0703125" style="944" customWidth="1"/>
    <col min="2319" max="2319" width="4.5703125" style="944" customWidth="1"/>
    <col min="2320" max="2320" width="4.42578125" style="944" customWidth="1"/>
    <col min="2321" max="2321" width="4" style="944" customWidth="1"/>
    <col min="2322" max="2322" width="3" style="944" customWidth="1"/>
    <col min="2323" max="2323" width="3.92578125" style="944" customWidth="1"/>
    <col min="2324" max="2324" width="4.42578125" style="944" customWidth="1"/>
    <col min="2325" max="2325" width="3.42578125" style="944" customWidth="1"/>
    <col min="2326" max="2326" width="4.92578125" style="944" customWidth="1"/>
    <col min="2327" max="2327" width="10.5703125" style="944" customWidth="1"/>
    <col min="2328" max="2328" width="7.0703125" style="944" customWidth="1"/>
    <col min="2329" max="2329" width="8.0703125" style="944" customWidth="1"/>
    <col min="2330" max="2330" width="7.5703125" style="944" customWidth="1"/>
    <col min="2331" max="2332" width="7.7109375" style="944" customWidth="1"/>
    <col min="2333" max="2333" width="7.0703125" style="944" customWidth="1"/>
    <col min="2334" max="2559" width="9.140625" style="944"/>
    <col min="2560" max="2560" width="4.42578125" style="944" customWidth="1"/>
    <col min="2561" max="2561" width="20.5703125" style="944" customWidth="1"/>
    <col min="2562" max="2562" width="12.42578125" style="944" customWidth="1"/>
    <col min="2563" max="2563" width="12.5703125" style="944" customWidth="1"/>
    <col min="2564" max="2564" width="3.92578125" style="944" customWidth="1"/>
    <col min="2565" max="2565" width="4.2109375" style="944" customWidth="1"/>
    <col min="2566" max="2566" width="4.0703125" style="944" customWidth="1"/>
    <col min="2567" max="2567" width="4" style="944" customWidth="1"/>
    <col min="2568" max="2568" width="16.42578125" style="944" customWidth="1"/>
    <col min="2569" max="2569" width="5.5703125" style="944" customWidth="1"/>
    <col min="2570" max="2570" width="8.7109375" style="944" customWidth="1"/>
    <col min="2571" max="2571" width="5.42578125" style="944" customWidth="1"/>
    <col min="2572" max="2572" width="4.42578125" style="944" customWidth="1"/>
    <col min="2573" max="2573" width="4.2109375" style="944" customWidth="1"/>
    <col min="2574" max="2574" width="3.0703125" style="944" customWidth="1"/>
    <col min="2575" max="2575" width="4.5703125" style="944" customWidth="1"/>
    <col min="2576" max="2576" width="4.42578125" style="944" customWidth="1"/>
    <col min="2577" max="2577" width="4" style="944" customWidth="1"/>
    <col min="2578" max="2578" width="3" style="944" customWidth="1"/>
    <col min="2579" max="2579" width="3.92578125" style="944" customWidth="1"/>
    <col min="2580" max="2580" width="4.42578125" style="944" customWidth="1"/>
    <col min="2581" max="2581" width="3.42578125" style="944" customWidth="1"/>
    <col min="2582" max="2582" width="4.92578125" style="944" customWidth="1"/>
    <col min="2583" max="2583" width="10.5703125" style="944" customWidth="1"/>
    <col min="2584" max="2584" width="7.0703125" style="944" customWidth="1"/>
    <col min="2585" max="2585" width="8.0703125" style="944" customWidth="1"/>
    <col min="2586" max="2586" width="7.5703125" style="944" customWidth="1"/>
    <col min="2587" max="2588" width="7.7109375" style="944" customWidth="1"/>
    <col min="2589" max="2589" width="7.0703125" style="944" customWidth="1"/>
    <col min="2590" max="2815" width="9.140625" style="944"/>
    <col min="2816" max="2816" width="4.42578125" style="944" customWidth="1"/>
    <col min="2817" max="2817" width="20.5703125" style="944" customWidth="1"/>
    <col min="2818" max="2818" width="12.42578125" style="944" customWidth="1"/>
    <col min="2819" max="2819" width="12.5703125" style="944" customWidth="1"/>
    <col min="2820" max="2820" width="3.92578125" style="944" customWidth="1"/>
    <col min="2821" max="2821" width="4.2109375" style="944" customWidth="1"/>
    <col min="2822" max="2822" width="4.0703125" style="944" customWidth="1"/>
    <col min="2823" max="2823" width="4" style="944" customWidth="1"/>
    <col min="2824" max="2824" width="16.42578125" style="944" customWidth="1"/>
    <col min="2825" max="2825" width="5.5703125" style="944" customWidth="1"/>
    <col min="2826" max="2826" width="8.7109375" style="944" customWidth="1"/>
    <col min="2827" max="2827" width="5.42578125" style="944" customWidth="1"/>
    <col min="2828" max="2828" width="4.42578125" style="944" customWidth="1"/>
    <col min="2829" max="2829" width="4.2109375" style="944" customWidth="1"/>
    <col min="2830" max="2830" width="3.0703125" style="944" customWidth="1"/>
    <col min="2831" max="2831" width="4.5703125" style="944" customWidth="1"/>
    <col min="2832" max="2832" width="4.42578125" style="944" customWidth="1"/>
    <col min="2833" max="2833" width="4" style="944" customWidth="1"/>
    <col min="2834" max="2834" width="3" style="944" customWidth="1"/>
    <col min="2835" max="2835" width="3.92578125" style="944" customWidth="1"/>
    <col min="2836" max="2836" width="4.42578125" style="944" customWidth="1"/>
    <col min="2837" max="2837" width="3.42578125" style="944" customWidth="1"/>
    <col min="2838" max="2838" width="4.92578125" style="944" customWidth="1"/>
    <col min="2839" max="2839" width="10.5703125" style="944" customWidth="1"/>
    <col min="2840" max="2840" width="7.0703125" style="944" customWidth="1"/>
    <col min="2841" max="2841" width="8.0703125" style="944" customWidth="1"/>
    <col min="2842" max="2842" width="7.5703125" style="944" customWidth="1"/>
    <col min="2843" max="2844" width="7.7109375" style="944" customWidth="1"/>
    <col min="2845" max="2845" width="7.0703125" style="944" customWidth="1"/>
    <col min="2846" max="3071" width="9.140625" style="944"/>
    <col min="3072" max="3072" width="4.42578125" style="944" customWidth="1"/>
    <col min="3073" max="3073" width="20.5703125" style="944" customWidth="1"/>
    <col min="3074" max="3074" width="12.42578125" style="944" customWidth="1"/>
    <col min="3075" max="3075" width="12.5703125" style="944" customWidth="1"/>
    <col min="3076" max="3076" width="3.92578125" style="944" customWidth="1"/>
    <col min="3077" max="3077" width="4.2109375" style="944" customWidth="1"/>
    <col min="3078" max="3078" width="4.0703125" style="944" customWidth="1"/>
    <col min="3079" max="3079" width="4" style="944" customWidth="1"/>
    <col min="3080" max="3080" width="16.42578125" style="944" customWidth="1"/>
    <col min="3081" max="3081" width="5.5703125" style="944" customWidth="1"/>
    <col min="3082" max="3082" width="8.7109375" style="944" customWidth="1"/>
    <col min="3083" max="3083" width="5.42578125" style="944" customWidth="1"/>
    <col min="3084" max="3084" width="4.42578125" style="944" customWidth="1"/>
    <col min="3085" max="3085" width="4.2109375" style="944" customWidth="1"/>
    <col min="3086" max="3086" width="3.0703125" style="944" customWidth="1"/>
    <col min="3087" max="3087" width="4.5703125" style="944" customWidth="1"/>
    <col min="3088" max="3088" width="4.42578125" style="944" customWidth="1"/>
    <col min="3089" max="3089" width="4" style="944" customWidth="1"/>
    <col min="3090" max="3090" width="3" style="944" customWidth="1"/>
    <col min="3091" max="3091" width="3.92578125" style="944" customWidth="1"/>
    <col min="3092" max="3092" width="4.42578125" style="944" customWidth="1"/>
    <col min="3093" max="3093" width="3.42578125" style="944" customWidth="1"/>
    <col min="3094" max="3094" width="4.92578125" style="944" customWidth="1"/>
    <col min="3095" max="3095" width="10.5703125" style="944" customWidth="1"/>
    <col min="3096" max="3096" width="7.0703125" style="944" customWidth="1"/>
    <col min="3097" max="3097" width="8.0703125" style="944" customWidth="1"/>
    <col min="3098" max="3098" width="7.5703125" style="944" customWidth="1"/>
    <col min="3099" max="3100" width="7.7109375" style="944" customWidth="1"/>
    <col min="3101" max="3101" width="7.0703125" style="944" customWidth="1"/>
    <col min="3102" max="3327" width="9.140625" style="944"/>
    <col min="3328" max="3328" width="4.42578125" style="944" customWidth="1"/>
    <col min="3329" max="3329" width="20.5703125" style="944" customWidth="1"/>
    <col min="3330" max="3330" width="12.42578125" style="944" customWidth="1"/>
    <col min="3331" max="3331" width="12.5703125" style="944" customWidth="1"/>
    <col min="3332" max="3332" width="3.92578125" style="944" customWidth="1"/>
    <col min="3333" max="3333" width="4.2109375" style="944" customWidth="1"/>
    <col min="3334" max="3334" width="4.0703125" style="944" customWidth="1"/>
    <col min="3335" max="3335" width="4" style="944" customWidth="1"/>
    <col min="3336" max="3336" width="16.42578125" style="944" customWidth="1"/>
    <col min="3337" max="3337" width="5.5703125" style="944" customWidth="1"/>
    <col min="3338" max="3338" width="8.7109375" style="944" customWidth="1"/>
    <col min="3339" max="3339" width="5.42578125" style="944" customWidth="1"/>
    <col min="3340" max="3340" width="4.42578125" style="944" customWidth="1"/>
    <col min="3341" max="3341" width="4.2109375" style="944" customWidth="1"/>
    <col min="3342" max="3342" width="3.0703125" style="944" customWidth="1"/>
    <col min="3343" max="3343" width="4.5703125" style="944" customWidth="1"/>
    <col min="3344" max="3344" width="4.42578125" style="944" customWidth="1"/>
    <col min="3345" max="3345" width="4" style="944" customWidth="1"/>
    <col min="3346" max="3346" width="3" style="944" customWidth="1"/>
    <col min="3347" max="3347" width="3.92578125" style="944" customWidth="1"/>
    <col min="3348" max="3348" width="4.42578125" style="944" customWidth="1"/>
    <col min="3349" max="3349" width="3.42578125" style="944" customWidth="1"/>
    <col min="3350" max="3350" width="4.92578125" style="944" customWidth="1"/>
    <col min="3351" max="3351" width="10.5703125" style="944" customWidth="1"/>
    <col min="3352" max="3352" width="7.0703125" style="944" customWidth="1"/>
    <col min="3353" max="3353" width="8.0703125" style="944" customWidth="1"/>
    <col min="3354" max="3354" width="7.5703125" style="944" customWidth="1"/>
    <col min="3355" max="3356" width="7.7109375" style="944" customWidth="1"/>
    <col min="3357" max="3357" width="7.0703125" style="944" customWidth="1"/>
    <col min="3358" max="3583" width="9.140625" style="944"/>
    <col min="3584" max="3584" width="4.42578125" style="944" customWidth="1"/>
    <col min="3585" max="3585" width="20.5703125" style="944" customWidth="1"/>
    <col min="3586" max="3586" width="12.42578125" style="944" customWidth="1"/>
    <col min="3587" max="3587" width="12.5703125" style="944" customWidth="1"/>
    <col min="3588" max="3588" width="3.92578125" style="944" customWidth="1"/>
    <col min="3589" max="3589" width="4.2109375" style="944" customWidth="1"/>
    <col min="3590" max="3590" width="4.0703125" style="944" customWidth="1"/>
    <col min="3591" max="3591" width="4" style="944" customWidth="1"/>
    <col min="3592" max="3592" width="16.42578125" style="944" customWidth="1"/>
    <col min="3593" max="3593" width="5.5703125" style="944" customWidth="1"/>
    <col min="3594" max="3594" width="8.7109375" style="944" customWidth="1"/>
    <col min="3595" max="3595" width="5.42578125" style="944" customWidth="1"/>
    <col min="3596" max="3596" width="4.42578125" style="944" customWidth="1"/>
    <col min="3597" max="3597" width="4.2109375" style="944" customWidth="1"/>
    <col min="3598" max="3598" width="3.0703125" style="944" customWidth="1"/>
    <col min="3599" max="3599" width="4.5703125" style="944" customWidth="1"/>
    <col min="3600" max="3600" width="4.42578125" style="944" customWidth="1"/>
    <col min="3601" max="3601" width="4" style="944" customWidth="1"/>
    <col min="3602" max="3602" width="3" style="944" customWidth="1"/>
    <col min="3603" max="3603" width="3.92578125" style="944" customWidth="1"/>
    <col min="3604" max="3604" width="4.42578125" style="944" customWidth="1"/>
    <col min="3605" max="3605" width="3.42578125" style="944" customWidth="1"/>
    <col min="3606" max="3606" width="4.92578125" style="944" customWidth="1"/>
    <col min="3607" max="3607" width="10.5703125" style="944" customWidth="1"/>
    <col min="3608" max="3608" width="7.0703125" style="944" customWidth="1"/>
    <col min="3609" max="3609" width="8.0703125" style="944" customWidth="1"/>
    <col min="3610" max="3610" width="7.5703125" style="944" customWidth="1"/>
    <col min="3611" max="3612" width="7.7109375" style="944" customWidth="1"/>
    <col min="3613" max="3613" width="7.0703125" style="944" customWidth="1"/>
    <col min="3614" max="3839" width="9.140625" style="944"/>
    <col min="3840" max="3840" width="4.42578125" style="944" customWidth="1"/>
    <col min="3841" max="3841" width="20.5703125" style="944" customWidth="1"/>
    <col min="3842" max="3842" width="12.42578125" style="944" customWidth="1"/>
    <col min="3843" max="3843" width="12.5703125" style="944" customWidth="1"/>
    <col min="3844" max="3844" width="3.92578125" style="944" customWidth="1"/>
    <col min="3845" max="3845" width="4.2109375" style="944" customWidth="1"/>
    <col min="3846" max="3846" width="4.0703125" style="944" customWidth="1"/>
    <col min="3847" max="3847" width="4" style="944" customWidth="1"/>
    <col min="3848" max="3848" width="16.42578125" style="944" customWidth="1"/>
    <col min="3849" max="3849" width="5.5703125" style="944" customWidth="1"/>
    <col min="3850" max="3850" width="8.7109375" style="944" customWidth="1"/>
    <col min="3851" max="3851" width="5.42578125" style="944" customWidth="1"/>
    <col min="3852" max="3852" width="4.42578125" style="944" customWidth="1"/>
    <col min="3853" max="3853" width="4.2109375" style="944" customWidth="1"/>
    <col min="3854" max="3854" width="3.0703125" style="944" customWidth="1"/>
    <col min="3855" max="3855" width="4.5703125" style="944" customWidth="1"/>
    <col min="3856" max="3856" width="4.42578125" style="944" customWidth="1"/>
    <col min="3857" max="3857" width="4" style="944" customWidth="1"/>
    <col min="3858" max="3858" width="3" style="944" customWidth="1"/>
    <col min="3859" max="3859" width="3.92578125" style="944" customWidth="1"/>
    <col min="3860" max="3860" width="4.42578125" style="944" customWidth="1"/>
    <col min="3861" max="3861" width="3.42578125" style="944" customWidth="1"/>
    <col min="3862" max="3862" width="4.92578125" style="944" customWidth="1"/>
    <col min="3863" max="3863" width="10.5703125" style="944" customWidth="1"/>
    <col min="3864" max="3864" width="7.0703125" style="944" customWidth="1"/>
    <col min="3865" max="3865" width="8.0703125" style="944" customWidth="1"/>
    <col min="3866" max="3866" width="7.5703125" style="944" customWidth="1"/>
    <col min="3867" max="3868" width="7.7109375" style="944" customWidth="1"/>
    <col min="3869" max="3869" width="7.0703125" style="944" customWidth="1"/>
    <col min="3870" max="4095" width="9.140625" style="944"/>
    <col min="4096" max="4096" width="4.42578125" style="944" customWidth="1"/>
    <col min="4097" max="4097" width="20.5703125" style="944" customWidth="1"/>
    <col min="4098" max="4098" width="12.42578125" style="944" customWidth="1"/>
    <col min="4099" max="4099" width="12.5703125" style="944" customWidth="1"/>
    <col min="4100" max="4100" width="3.92578125" style="944" customWidth="1"/>
    <col min="4101" max="4101" width="4.2109375" style="944" customWidth="1"/>
    <col min="4102" max="4102" width="4.0703125" style="944" customWidth="1"/>
    <col min="4103" max="4103" width="4" style="944" customWidth="1"/>
    <col min="4104" max="4104" width="16.42578125" style="944" customWidth="1"/>
    <col min="4105" max="4105" width="5.5703125" style="944" customWidth="1"/>
    <col min="4106" max="4106" width="8.7109375" style="944" customWidth="1"/>
    <col min="4107" max="4107" width="5.42578125" style="944" customWidth="1"/>
    <col min="4108" max="4108" width="4.42578125" style="944" customWidth="1"/>
    <col min="4109" max="4109" width="4.2109375" style="944" customWidth="1"/>
    <col min="4110" max="4110" width="3.0703125" style="944" customWidth="1"/>
    <col min="4111" max="4111" width="4.5703125" style="944" customWidth="1"/>
    <col min="4112" max="4112" width="4.42578125" style="944" customWidth="1"/>
    <col min="4113" max="4113" width="4" style="944" customWidth="1"/>
    <col min="4114" max="4114" width="3" style="944" customWidth="1"/>
    <col min="4115" max="4115" width="3.92578125" style="944" customWidth="1"/>
    <col min="4116" max="4116" width="4.42578125" style="944" customWidth="1"/>
    <col min="4117" max="4117" width="3.42578125" style="944" customWidth="1"/>
    <col min="4118" max="4118" width="4.92578125" style="944" customWidth="1"/>
    <col min="4119" max="4119" width="10.5703125" style="944" customWidth="1"/>
    <col min="4120" max="4120" width="7.0703125" style="944" customWidth="1"/>
    <col min="4121" max="4121" width="8.0703125" style="944" customWidth="1"/>
    <col min="4122" max="4122" width="7.5703125" style="944" customWidth="1"/>
    <col min="4123" max="4124" width="7.7109375" style="944" customWidth="1"/>
    <col min="4125" max="4125" width="7.0703125" style="944" customWidth="1"/>
    <col min="4126" max="4351" width="9.140625" style="944"/>
    <col min="4352" max="4352" width="4.42578125" style="944" customWidth="1"/>
    <col min="4353" max="4353" width="20.5703125" style="944" customWidth="1"/>
    <col min="4354" max="4354" width="12.42578125" style="944" customWidth="1"/>
    <col min="4355" max="4355" width="12.5703125" style="944" customWidth="1"/>
    <col min="4356" max="4356" width="3.92578125" style="944" customWidth="1"/>
    <col min="4357" max="4357" width="4.2109375" style="944" customWidth="1"/>
    <col min="4358" max="4358" width="4.0703125" style="944" customWidth="1"/>
    <col min="4359" max="4359" width="4" style="944" customWidth="1"/>
    <col min="4360" max="4360" width="16.42578125" style="944" customWidth="1"/>
    <col min="4361" max="4361" width="5.5703125" style="944" customWidth="1"/>
    <col min="4362" max="4362" width="8.7109375" style="944" customWidth="1"/>
    <col min="4363" max="4363" width="5.42578125" style="944" customWidth="1"/>
    <col min="4364" max="4364" width="4.42578125" style="944" customWidth="1"/>
    <col min="4365" max="4365" width="4.2109375" style="944" customWidth="1"/>
    <col min="4366" max="4366" width="3.0703125" style="944" customWidth="1"/>
    <col min="4367" max="4367" width="4.5703125" style="944" customWidth="1"/>
    <col min="4368" max="4368" width="4.42578125" style="944" customWidth="1"/>
    <col min="4369" max="4369" width="4" style="944" customWidth="1"/>
    <col min="4370" max="4370" width="3" style="944" customWidth="1"/>
    <col min="4371" max="4371" width="3.92578125" style="944" customWidth="1"/>
    <col min="4372" max="4372" width="4.42578125" style="944" customWidth="1"/>
    <col min="4373" max="4373" width="3.42578125" style="944" customWidth="1"/>
    <col min="4374" max="4374" width="4.92578125" style="944" customWidth="1"/>
    <col min="4375" max="4375" width="10.5703125" style="944" customWidth="1"/>
    <col min="4376" max="4376" width="7.0703125" style="944" customWidth="1"/>
    <col min="4377" max="4377" width="8.0703125" style="944" customWidth="1"/>
    <col min="4378" max="4378" width="7.5703125" style="944" customWidth="1"/>
    <col min="4379" max="4380" width="7.7109375" style="944" customWidth="1"/>
    <col min="4381" max="4381" width="7.0703125" style="944" customWidth="1"/>
    <col min="4382" max="4607" width="9.140625" style="944"/>
    <col min="4608" max="4608" width="4.42578125" style="944" customWidth="1"/>
    <col min="4609" max="4609" width="20.5703125" style="944" customWidth="1"/>
    <col min="4610" max="4610" width="12.42578125" style="944" customWidth="1"/>
    <col min="4611" max="4611" width="12.5703125" style="944" customWidth="1"/>
    <col min="4612" max="4612" width="3.92578125" style="944" customWidth="1"/>
    <col min="4613" max="4613" width="4.2109375" style="944" customWidth="1"/>
    <col min="4614" max="4614" width="4.0703125" style="944" customWidth="1"/>
    <col min="4615" max="4615" width="4" style="944" customWidth="1"/>
    <col min="4616" max="4616" width="16.42578125" style="944" customWidth="1"/>
    <col min="4617" max="4617" width="5.5703125" style="944" customWidth="1"/>
    <col min="4618" max="4618" width="8.7109375" style="944" customWidth="1"/>
    <col min="4619" max="4619" width="5.42578125" style="944" customWidth="1"/>
    <col min="4620" max="4620" width="4.42578125" style="944" customWidth="1"/>
    <col min="4621" max="4621" width="4.2109375" style="944" customWidth="1"/>
    <col min="4622" max="4622" width="3.0703125" style="944" customWidth="1"/>
    <col min="4623" max="4623" width="4.5703125" style="944" customWidth="1"/>
    <col min="4624" max="4624" width="4.42578125" style="944" customWidth="1"/>
    <col min="4625" max="4625" width="4" style="944" customWidth="1"/>
    <col min="4626" max="4626" width="3" style="944" customWidth="1"/>
    <col min="4627" max="4627" width="3.92578125" style="944" customWidth="1"/>
    <col min="4628" max="4628" width="4.42578125" style="944" customWidth="1"/>
    <col min="4629" max="4629" width="3.42578125" style="944" customWidth="1"/>
    <col min="4630" max="4630" width="4.92578125" style="944" customWidth="1"/>
    <col min="4631" max="4631" width="10.5703125" style="944" customWidth="1"/>
    <col min="4632" max="4632" width="7.0703125" style="944" customWidth="1"/>
    <col min="4633" max="4633" width="8.0703125" style="944" customWidth="1"/>
    <col min="4634" max="4634" width="7.5703125" style="944" customWidth="1"/>
    <col min="4635" max="4636" width="7.7109375" style="944" customWidth="1"/>
    <col min="4637" max="4637" width="7.0703125" style="944" customWidth="1"/>
    <col min="4638" max="4863" width="9.140625" style="944"/>
    <col min="4864" max="4864" width="4.42578125" style="944" customWidth="1"/>
    <col min="4865" max="4865" width="20.5703125" style="944" customWidth="1"/>
    <col min="4866" max="4866" width="12.42578125" style="944" customWidth="1"/>
    <col min="4867" max="4867" width="12.5703125" style="944" customWidth="1"/>
    <col min="4868" max="4868" width="3.92578125" style="944" customWidth="1"/>
    <col min="4869" max="4869" width="4.2109375" style="944" customWidth="1"/>
    <col min="4870" max="4870" width="4.0703125" style="944" customWidth="1"/>
    <col min="4871" max="4871" width="4" style="944" customWidth="1"/>
    <col min="4872" max="4872" width="16.42578125" style="944" customWidth="1"/>
    <col min="4873" max="4873" width="5.5703125" style="944" customWidth="1"/>
    <col min="4874" max="4874" width="8.7109375" style="944" customWidth="1"/>
    <col min="4875" max="4875" width="5.42578125" style="944" customWidth="1"/>
    <col min="4876" max="4876" width="4.42578125" style="944" customWidth="1"/>
    <col min="4877" max="4877" width="4.2109375" style="944" customWidth="1"/>
    <col min="4878" max="4878" width="3.0703125" style="944" customWidth="1"/>
    <col min="4879" max="4879" width="4.5703125" style="944" customWidth="1"/>
    <col min="4880" max="4880" width="4.42578125" style="944" customWidth="1"/>
    <col min="4881" max="4881" width="4" style="944" customWidth="1"/>
    <col min="4882" max="4882" width="3" style="944" customWidth="1"/>
    <col min="4883" max="4883" width="3.92578125" style="944" customWidth="1"/>
    <col min="4884" max="4884" width="4.42578125" style="944" customWidth="1"/>
    <col min="4885" max="4885" width="3.42578125" style="944" customWidth="1"/>
    <col min="4886" max="4886" width="4.92578125" style="944" customWidth="1"/>
    <col min="4887" max="4887" width="10.5703125" style="944" customWidth="1"/>
    <col min="4888" max="4888" width="7.0703125" style="944" customWidth="1"/>
    <col min="4889" max="4889" width="8.0703125" style="944" customWidth="1"/>
    <col min="4890" max="4890" width="7.5703125" style="944" customWidth="1"/>
    <col min="4891" max="4892" width="7.7109375" style="944" customWidth="1"/>
    <col min="4893" max="4893" width="7.0703125" style="944" customWidth="1"/>
    <col min="4894" max="5119" width="9.140625" style="944"/>
    <col min="5120" max="5120" width="4.42578125" style="944" customWidth="1"/>
    <col min="5121" max="5121" width="20.5703125" style="944" customWidth="1"/>
    <col min="5122" max="5122" width="12.42578125" style="944" customWidth="1"/>
    <col min="5123" max="5123" width="12.5703125" style="944" customWidth="1"/>
    <col min="5124" max="5124" width="3.92578125" style="944" customWidth="1"/>
    <col min="5125" max="5125" width="4.2109375" style="944" customWidth="1"/>
    <col min="5126" max="5126" width="4.0703125" style="944" customWidth="1"/>
    <col min="5127" max="5127" width="4" style="944" customWidth="1"/>
    <col min="5128" max="5128" width="16.42578125" style="944" customWidth="1"/>
    <col min="5129" max="5129" width="5.5703125" style="944" customWidth="1"/>
    <col min="5130" max="5130" width="8.7109375" style="944" customWidth="1"/>
    <col min="5131" max="5131" width="5.42578125" style="944" customWidth="1"/>
    <col min="5132" max="5132" width="4.42578125" style="944" customWidth="1"/>
    <col min="5133" max="5133" width="4.2109375" style="944" customWidth="1"/>
    <col min="5134" max="5134" width="3.0703125" style="944" customWidth="1"/>
    <col min="5135" max="5135" width="4.5703125" style="944" customWidth="1"/>
    <col min="5136" max="5136" width="4.42578125" style="944" customWidth="1"/>
    <col min="5137" max="5137" width="4" style="944" customWidth="1"/>
    <col min="5138" max="5138" width="3" style="944" customWidth="1"/>
    <col min="5139" max="5139" width="3.92578125" style="944" customWidth="1"/>
    <col min="5140" max="5140" width="4.42578125" style="944" customWidth="1"/>
    <col min="5141" max="5141" width="3.42578125" style="944" customWidth="1"/>
    <col min="5142" max="5142" width="4.92578125" style="944" customWidth="1"/>
    <col min="5143" max="5143" width="10.5703125" style="944" customWidth="1"/>
    <col min="5144" max="5144" width="7.0703125" style="944" customWidth="1"/>
    <col min="5145" max="5145" width="8.0703125" style="944" customWidth="1"/>
    <col min="5146" max="5146" width="7.5703125" style="944" customWidth="1"/>
    <col min="5147" max="5148" width="7.7109375" style="944" customWidth="1"/>
    <col min="5149" max="5149" width="7.0703125" style="944" customWidth="1"/>
    <col min="5150" max="5375" width="9.140625" style="944"/>
    <col min="5376" max="5376" width="4.42578125" style="944" customWidth="1"/>
    <col min="5377" max="5377" width="20.5703125" style="944" customWidth="1"/>
    <col min="5378" max="5378" width="12.42578125" style="944" customWidth="1"/>
    <col min="5379" max="5379" width="12.5703125" style="944" customWidth="1"/>
    <col min="5380" max="5380" width="3.92578125" style="944" customWidth="1"/>
    <col min="5381" max="5381" width="4.2109375" style="944" customWidth="1"/>
    <col min="5382" max="5382" width="4.0703125" style="944" customWidth="1"/>
    <col min="5383" max="5383" width="4" style="944" customWidth="1"/>
    <col min="5384" max="5384" width="16.42578125" style="944" customWidth="1"/>
    <col min="5385" max="5385" width="5.5703125" style="944" customWidth="1"/>
    <col min="5386" max="5386" width="8.7109375" style="944" customWidth="1"/>
    <col min="5387" max="5387" width="5.42578125" style="944" customWidth="1"/>
    <col min="5388" max="5388" width="4.42578125" style="944" customWidth="1"/>
    <col min="5389" max="5389" width="4.2109375" style="944" customWidth="1"/>
    <col min="5390" max="5390" width="3.0703125" style="944" customWidth="1"/>
    <col min="5391" max="5391" width="4.5703125" style="944" customWidth="1"/>
    <col min="5392" max="5392" width="4.42578125" style="944" customWidth="1"/>
    <col min="5393" max="5393" width="4" style="944" customWidth="1"/>
    <col min="5394" max="5394" width="3" style="944" customWidth="1"/>
    <col min="5395" max="5395" width="3.92578125" style="944" customWidth="1"/>
    <col min="5396" max="5396" width="4.42578125" style="944" customWidth="1"/>
    <col min="5397" max="5397" width="3.42578125" style="944" customWidth="1"/>
    <col min="5398" max="5398" width="4.92578125" style="944" customWidth="1"/>
    <col min="5399" max="5399" width="10.5703125" style="944" customWidth="1"/>
    <col min="5400" max="5400" width="7.0703125" style="944" customWidth="1"/>
    <col min="5401" max="5401" width="8.0703125" style="944" customWidth="1"/>
    <col min="5402" max="5402" width="7.5703125" style="944" customWidth="1"/>
    <col min="5403" max="5404" width="7.7109375" style="944" customWidth="1"/>
    <col min="5405" max="5405" width="7.0703125" style="944" customWidth="1"/>
    <col min="5406" max="5631" width="9.140625" style="944"/>
    <col min="5632" max="5632" width="4.42578125" style="944" customWidth="1"/>
    <col min="5633" max="5633" width="20.5703125" style="944" customWidth="1"/>
    <col min="5634" max="5634" width="12.42578125" style="944" customWidth="1"/>
    <col min="5635" max="5635" width="12.5703125" style="944" customWidth="1"/>
    <col min="5636" max="5636" width="3.92578125" style="944" customWidth="1"/>
    <col min="5637" max="5637" width="4.2109375" style="944" customWidth="1"/>
    <col min="5638" max="5638" width="4.0703125" style="944" customWidth="1"/>
    <col min="5639" max="5639" width="4" style="944" customWidth="1"/>
    <col min="5640" max="5640" width="16.42578125" style="944" customWidth="1"/>
    <col min="5641" max="5641" width="5.5703125" style="944" customWidth="1"/>
    <col min="5642" max="5642" width="8.7109375" style="944" customWidth="1"/>
    <col min="5643" max="5643" width="5.42578125" style="944" customWidth="1"/>
    <col min="5644" max="5644" width="4.42578125" style="944" customWidth="1"/>
    <col min="5645" max="5645" width="4.2109375" style="944" customWidth="1"/>
    <col min="5646" max="5646" width="3.0703125" style="944" customWidth="1"/>
    <col min="5647" max="5647" width="4.5703125" style="944" customWidth="1"/>
    <col min="5648" max="5648" width="4.42578125" style="944" customWidth="1"/>
    <col min="5649" max="5649" width="4" style="944" customWidth="1"/>
    <col min="5650" max="5650" width="3" style="944" customWidth="1"/>
    <col min="5651" max="5651" width="3.92578125" style="944" customWidth="1"/>
    <col min="5652" max="5652" width="4.42578125" style="944" customWidth="1"/>
    <col min="5653" max="5653" width="3.42578125" style="944" customWidth="1"/>
    <col min="5654" max="5654" width="4.92578125" style="944" customWidth="1"/>
    <col min="5655" max="5655" width="10.5703125" style="944" customWidth="1"/>
    <col min="5656" max="5656" width="7.0703125" style="944" customWidth="1"/>
    <col min="5657" max="5657" width="8.0703125" style="944" customWidth="1"/>
    <col min="5658" max="5658" width="7.5703125" style="944" customWidth="1"/>
    <col min="5659" max="5660" width="7.7109375" style="944" customWidth="1"/>
    <col min="5661" max="5661" width="7.0703125" style="944" customWidth="1"/>
    <col min="5662" max="5887" width="9.140625" style="944"/>
    <col min="5888" max="5888" width="4.42578125" style="944" customWidth="1"/>
    <col min="5889" max="5889" width="20.5703125" style="944" customWidth="1"/>
    <col min="5890" max="5890" width="12.42578125" style="944" customWidth="1"/>
    <col min="5891" max="5891" width="12.5703125" style="944" customWidth="1"/>
    <col min="5892" max="5892" width="3.92578125" style="944" customWidth="1"/>
    <col min="5893" max="5893" width="4.2109375" style="944" customWidth="1"/>
    <col min="5894" max="5894" width="4.0703125" style="944" customWidth="1"/>
    <col min="5895" max="5895" width="4" style="944" customWidth="1"/>
    <col min="5896" max="5896" width="16.42578125" style="944" customWidth="1"/>
    <col min="5897" max="5897" width="5.5703125" style="944" customWidth="1"/>
    <col min="5898" max="5898" width="8.7109375" style="944" customWidth="1"/>
    <col min="5899" max="5899" width="5.42578125" style="944" customWidth="1"/>
    <col min="5900" max="5900" width="4.42578125" style="944" customWidth="1"/>
    <col min="5901" max="5901" width="4.2109375" style="944" customWidth="1"/>
    <col min="5902" max="5902" width="3.0703125" style="944" customWidth="1"/>
    <col min="5903" max="5903" width="4.5703125" style="944" customWidth="1"/>
    <col min="5904" max="5904" width="4.42578125" style="944" customWidth="1"/>
    <col min="5905" max="5905" width="4" style="944" customWidth="1"/>
    <col min="5906" max="5906" width="3" style="944" customWidth="1"/>
    <col min="5907" max="5907" width="3.92578125" style="944" customWidth="1"/>
    <col min="5908" max="5908" width="4.42578125" style="944" customWidth="1"/>
    <col min="5909" max="5909" width="3.42578125" style="944" customWidth="1"/>
    <col min="5910" max="5910" width="4.92578125" style="944" customWidth="1"/>
    <col min="5911" max="5911" width="10.5703125" style="944" customWidth="1"/>
    <col min="5912" max="5912" width="7.0703125" style="944" customWidth="1"/>
    <col min="5913" max="5913" width="8.0703125" style="944" customWidth="1"/>
    <col min="5914" max="5914" width="7.5703125" style="944" customWidth="1"/>
    <col min="5915" max="5916" width="7.7109375" style="944" customWidth="1"/>
    <col min="5917" max="5917" width="7.0703125" style="944" customWidth="1"/>
    <col min="5918" max="6143" width="9.140625" style="944"/>
    <col min="6144" max="6144" width="4.42578125" style="944" customWidth="1"/>
    <col min="6145" max="6145" width="20.5703125" style="944" customWidth="1"/>
    <col min="6146" max="6146" width="12.42578125" style="944" customWidth="1"/>
    <col min="6147" max="6147" width="12.5703125" style="944" customWidth="1"/>
    <col min="6148" max="6148" width="3.92578125" style="944" customWidth="1"/>
    <col min="6149" max="6149" width="4.2109375" style="944" customWidth="1"/>
    <col min="6150" max="6150" width="4.0703125" style="944" customWidth="1"/>
    <col min="6151" max="6151" width="4" style="944" customWidth="1"/>
    <col min="6152" max="6152" width="16.42578125" style="944" customWidth="1"/>
    <col min="6153" max="6153" width="5.5703125" style="944" customWidth="1"/>
    <col min="6154" max="6154" width="8.7109375" style="944" customWidth="1"/>
    <col min="6155" max="6155" width="5.42578125" style="944" customWidth="1"/>
    <col min="6156" max="6156" width="4.42578125" style="944" customWidth="1"/>
    <col min="6157" max="6157" width="4.2109375" style="944" customWidth="1"/>
    <col min="6158" max="6158" width="3.0703125" style="944" customWidth="1"/>
    <col min="6159" max="6159" width="4.5703125" style="944" customWidth="1"/>
    <col min="6160" max="6160" width="4.42578125" style="944" customWidth="1"/>
    <col min="6161" max="6161" width="4" style="944" customWidth="1"/>
    <col min="6162" max="6162" width="3" style="944" customWidth="1"/>
    <col min="6163" max="6163" width="3.92578125" style="944" customWidth="1"/>
    <col min="6164" max="6164" width="4.42578125" style="944" customWidth="1"/>
    <col min="6165" max="6165" width="3.42578125" style="944" customWidth="1"/>
    <col min="6166" max="6166" width="4.92578125" style="944" customWidth="1"/>
    <col min="6167" max="6167" width="10.5703125" style="944" customWidth="1"/>
    <col min="6168" max="6168" width="7.0703125" style="944" customWidth="1"/>
    <col min="6169" max="6169" width="8.0703125" style="944" customWidth="1"/>
    <col min="6170" max="6170" width="7.5703125" style="944" customWidth="1"/>
    <col min="6171" max="6172" width="7.7109375" style="944" customWidth="1"/>
    <col min="6173" max="6173" width="7.0703125" style="944" customWidth="1"/>
    <col min="6174" max="6399" width="9.140625" style="944"/>
    <col min="6400" max="6400" width="4.42578125" style="944" customWidth="1"/>
    <col min="6401" max="6401" width="20.5703125" style="944" customWidth="1"/>
    <col min="6402" max="6402" width="12.42578125" style="944" customWidth="1"/>
    <col min="6403" max="6403" width="12.5703125" style="944" customWidth="1"/>
    <col min="6404" max="6404" width="3.92578125" style="944" customWidth="1"/>
    <col min="6405" max="6405" width="4.2109375" style="944" customWidth="1"/>
    <col min="6406" max="6406" width="4.0703125" style="944" customWidth="1"/>
    <col min="6407" max="6407" width="4" style="944" customWidth="1"/>
    <col min="6408" max="6408" width="16.42578125" style="944" customWidth="1"/>
    <col min="6409" max="6409" width="5.5703125" style="944" customWidth="1"/>
    <col min="6410" max="6410" width="8.7109375" style="944" customWidth="1"/>
    <col min="6411" max="6411" width="5.42578125" style="944" customWidth="1"/>
    <col min="6412" max="6412" width="4.42578125" style="944" customWidth="1"/>
    <col min="6413" max="6413" width="4.2109375" style="944" customWidth="1"/>
    <col min="6414" max="6414" width="3.0703125" style="944" customWidth="1"/>
    <col min="6415" max="6415" width="4.5703125" style="944" customWidth="1"/>
    <col min="6416" max="6416" width="4.42578125" style="944" customWidth="1"/>
    <col min="6417" max="6417" width="4" style="944" customWidth="1"/>
    <col min="6418" max="6418" width="3" style="944" customWidth="1"/>
    <col min="6419" max="6419" width="3.92578125" style="944" customWidth="1"/>
    <col min="6420" max="6420" width="4.42578125" style="944" customWidth="1"/>
    <col min="6421" max="6421" width="3.42578125" style="944" customWidth="1"/>
    <col min="6422" max="6422" width="4.92578125" style="944" customWidth="1"/>
    <col min="6423" max="6423" width="10.5703125" style="944" customWidth="1"/>
    <col min="6424" max="6424" width="7.0703125" style="944" customWidth="1"/>
    <col min="6425" max="6425" width="8.0703125" style="944" customWidth="1"/>
    <col min="6426" max="6426" width="7.5703125" style="944" customWidth="1"/>
    <col min="6427" max="6428" width="7.7109375" style="944" customWidth="1"/>
    <col min="6429" max="6429" width="7.0703125" style="944" customWidth="1"/>
    <col min="6430" max="6655" width="9.140625" style="944"/>
    <col min="6656" max="6656" width="4.42578125" style="944" customWidth="1"/>
    <col min="6657" max="6657" width="20.5703125" style="944" customWidth="1"/>
    <col min="6658" max="6658" width="12.42578125" style="944" customWidth="1"/>
    <col min="6659" max="6659" width="12.5703125" style="944" customWidth="1"/>
    <col min="6660" max="6660" width="3.92578125" style="944" customWidth="1"/>
    <col min="6661" max="6661" width="4.2109375" style="944" customWidth="1"/>
    <col min="6662" max="6662" width="4.0703125" style="944" customWidth="1"/>
    <col min="6663" max="6663" width="4" style="944" customWidth="1"/>
    <col min="6664" max="6664" width="16.42578125" style="944" customWidth="1"/>
    <col min="6665" max="6665" width="5.5703125" style="944" customWidth="1"/>
    <col min="6666" max="6666" width="8.7109375" style="944" customWidth="1"/>
    <col min="6667" max="6667" width="5.42578125" style="944" customWidth="1"/>
    <col min="6668" max="6668" width="4.42578125" style="944" customWidth="1"/>
    <col min="6669" max="6669" width="4.2109375" style="944" customWidth="1"/>
    <col min="6670" max="6670" width="3.0703125" style="944" customWidth="1"/>
    <col min="6671" max="6671" width="4.5703125" style="944" customWidth="1"/>
    <col min="6672" max="6672" width="4.42578125" style="944" customWidth="1"/>
    <col min="6673" max="6673" width="4" style="944" customWidth="1"/>
    <col min="6674" max="6674" width="3" style="944" customWidth="1"/>
    <col min="6675" max="6675" width="3.92578125" style="944" customWidth="1"/>
    <col min="6676" max="6676" width="4.42578125" style="944" customWidth="1"/>
    <col min="6677" max="6677" width="3.42578125" style="944" customWidth="1"/>
    <col min="6678" max="6678" width="4.92578125" style="944" customWidth="1"/>
    <col min="6679" max="6679" width="10.5703125" style="944" customWidth="1"/>
    <col min="6680" max="6680" width="7.0703125" style="944" customWidth="1"/>
    <col min="6681" max="6681" width="8.0703125" style="944" customWidth="1"/>
    <col min="6682" max="6682" width="7.5703125" style="944" customWidth="1"/>
    <col min="6683" max="6684" width="7.7109375" style="944" customWidth="1"/>
    <col min="6685" max="6685" width="7.0703125" style="944" customWidth="1"/>
    <col min="6686" max="6911" width="9.140625" style="944"/>
    <col min="6912" max="6912" width="4.42578125" style="944" customWidth="1"/>
    <col min="6913" max="6913" width="20.5703125" style="944" customWidth="1"/>
    <col min="6914" max="6914" width="12.42578125" style="944" customWidth="1"/>
    <col min="6915" max="6915" width="12.5703125" style="944" customWidth="1"/>
    <col min="6916" max="6916" width="3.92578125" style="944" customWidth="1"/>
    <col min="6917" max="6917" width="4.2109375" style="944" customWidth="1"/>
    <col min="6918" max="6918" width="4.0703125" style="944" customWidth="1"/>
    <col min="6919" max="6919" width="4" style="944" customWidth="1"/>
    <col min="6920" max="6920" width="16.42578125" style="944" customWidth="1"/>
    <col min="6921" max="6921" width="5.5703125" style="944" customWidth="1"/>
    <col min="6922" max="6922" width="8.7109375" style="944" customWidth="1"/>
    <col min="6923" max="6923" width="5.42578125" style="944" customWidth="1"/>
    <col min="6924" max="6924" width="4.42578125" style="944" customWidth="1"/>
    <col min="6925" max="6925" width="4.2109375" style="944" customWidth="1"/>
    <col min="6926" max="6926" width="3.0703125" style="944" customWidth="1"/>
    <col min="6927" max="6927" width="4.5703125" style="944" customWidth="1"/>
    <col min="6928" max="6928" width="4.42578125" style="944" customWidth="1"/>
    <col min="6929" max="6929" width="4" style="944" customWidth="1"/>
    <col min="6930" max="6930" width="3" style="944" customWidth="1"/>
    <col min="6931" max="6931" width="3.92578125" style="944" customWidth="1"/>
    <col min="6932" max="6932" width="4.42578125" style="944" customWidth="1"/>
    <col min="6933" max="6933" width="3.42578125" style="944" customWidth="1"/>
    <col min="6934" max="6934" width="4.92578125" style="944" customWidth="1"/>
    <col min="6935" max="6935" width="10.5703125" style="944" customWidth="1"/>
    <col min="6936" max="6936" width="7.0703125" style="944" customWidth="1"/>
    <col min="6937" max="6937" width="8.0703125" style="944" customWidth="1"/>
    <col min="6938" max="6938" width="7.5703125" style="944" customWidth="1"/>
    <col min="6939" max="6940" width="7.7109375" style="944" customWidth="1"/>
    <col min="6941" max="6941" width="7.0703125" style="944" customWidth="1"/>
    <col min="6942" max="7167" width="9.140625" style="944"/>
    <col min="7168" max="7168" width="4.42578125" style="944" customWidth="1"/>
    <col min="7169" max="7169" width="20.5703125" style="944" customWidth="1"/>
    <col min="7170" max="7170" width="12.42578125" style="944" customWidth="1"/>
    <col min="7171" max="7171" width="12.5703125" style="944" customWidth="1"/>
    <col min="7172" max="7172" width="3.92578125" style="944" customWidth="1"/>
    <col min="7173" max="7173" width="4.2109375" style="944" customWidth="1"/>
    <col min="7174" max="7174" width="4.0703125" style="944" customWidth="1"/>
    <col min="7175" max="7175" width="4" style="944" customWidth="1"/>
    <col min="7176" max="7176" width="16.42578125" style="944" customWidth="1"/>
    <col min="7177" max="7177" width="5.5703125" style="944" customWidth="1"/>
    <col min="7178" max="7178" width="8.7109375" style="944" customWidth="1"/>
    <col min="7179" max="7179" width="5.42578125" style="944" customWidth="1"/>
    <col min="7180" max="7180" width="4.42578125" style="944" customWidth="1"/>
    <col min="7181" max="7181" width="4.2109375" style="944" customWidth="1"/>
    <col min="7182" max="7182" width="3.0703125" style="944" customWidth="1"/>
    <col min="7183" max="7183" width="4.5703125" style="944" customWidth="1"/>
    <col min="7184" max="7184" width="4.42578125" style="944" customWidth="1"/>
    <col min="7185" max="7185" width="4" style="944" customWidth="1"/>
    <col min="7186" max="7186" width="3" style="944" customWidth="1"/>
    <col min="7187" max="7187" width="3.92578125" style="944" customWidth="1"/>
    <col min="7188" max="7188" width="4.42578125" style="944" customWidth="1"/>
    <col min="7189" max="7189" width="3.42578125" style="944" customWidth="1"/>
    <col min="7190" max="7190" width="4.92578125" style="944" customWidth="1"/>
    <col min="7191" max="7191" width="10.5703125" style="944" customWidth="1"/>
    <col min="7192" max="7192" width="7.0703125" style="944" customWidth="1"/>
    <col min="7193" max="7193" width="8.0703125" style="944" customWidth="1"/>
    <col min="7194" max="7194" width="7.5703125" style="944" customWidth="1"/>
    <col min="7195" max="7196" width="7.7109375" style="944" customWidth="1"/>
    <col min="7197" max="7197" width="7.0703125" style="944" customWidth="1"/>
    <col min="7198" max="7423" width="9.140625" style="944"/>
    <col min="7424" max="7424" width="4.42578125" style="944" customWidth="1"/>
    <col min="7425" max="7425" width="20.5703125" style="944" customWidth="1"/>
    <col min="7426" max="7426" width="12.42578125" style="944" customWidth="1"/>
    <col min="7427" max="7427" width="12.5703125" style="944" customWidth="1"/>
    <col min="7428" max="7428" width="3.92578125" style="944" customWidth="1"/>
    <col min="7429" max="7429" width="4.2109375" style="944" customWidth="1"/>
    <col min="7430" max="7430" width="4.0703125" style="944" customWidth="1"/>
    <col min="7431" max="7431" width="4" style="944" customWidth="1"/>
    <col min="7432" max="7432" width="16.42578125" style="944" customWidth="1"/>
    <col min="7433" max="7433" width="5.5703125" style="944" customWidth="1"/>
    <col min="7434" max="7434" width="8.7109375" style="944" customWidth="1"/>
    <col min="7435" max="7435" width="5.42578125" style="944" customWidth="1"/>
    <col min="7436" max="7436" width="4.42578125" style="944" customWidth="1"/>
    <col min="7437" max="7437" width="4.2109375" style="944" customWidth="1"/>
    <col min="7438" max="7438" width="3.0703125" style="944" customWidth="1"/>
    <col min="7439" max="7439" width="4.5703125" style="944" customWidth="1"/>
    <col min="7440" max="7440" width="4.42578125" style="944" customWidth="1"/>
    <col min="7441" max="7441" width="4" style="944" customWidth="1"/>
    <col min="7442" max="7442" width="3" style="944" customWidth="1"/>
    <col min="7443" max="7443" width="3.92578125" style="944" customWidth="1"/>
    <col min="7444" max="7444" width="4.42578125" style="944" customWidth="1"/>
    <col min="7445" max="7445" width="3.42578125" style="944" customWidth="1"/>
    <col min="7446" max="7446" width="4.92578125" style="944" customWidth="1"/>
    <col min="7447" max="7447" width="10.5703125" style="944" customWidth="1"/>
    <col min="7448" max="7448" width="7.0703125" style="944" customWidth="1"/>
    <col min="7449" max="7449" width="8.0703125" style="944" customWidth="1"/>
    <col min="7450" max="7450" width="7.5703125" style="944" customWidth="1"/>
    <col min="7451" max="7452" width="7.7109375" style="944" customWidth="1"/>
    <col min="7453" max="7453" width="7.0703125" style="944" customWidth="1"/>
    <col min="7454" max="7679" width="9.140625" style="944"/>
    <col min="7680" max="7680" width="4.42578125" style="944" customWidth="1"/>
    <col min="7681" max="7681" width="20.5703125" style="944" customWidth="1"/>
    <col min="7682" max="7682" width="12.42578125" style="944" customWidth="1"/>
    <col min="7683" max="7683" width="12.5703125" style="944" customWidth="1"/>
    <col min="7684" max="7684" width="3.92578125" style="944" customWidth="1"/>
    <col min="7685" max="7685" width="4.2109375" style="944" customWidth="1"/>
    <col min="7686" max="7686" width="4.0703125" style="944" customWidth="1"/>
    <col min="7687" max="7687" width="4" style="944" customWidth="1"/>
    <col min="7688" max="7688" width="16.42578125" style="944" customWidth="1"/>
    <col min="7689" max="7689" width="5.5703125" style="944" customWidth="1"/>
    <col min="7690" max="7690" width="8.7109375" style="944" customWidth="1"/>
    <col min="7691" max="7691" width="5.42578125" style="944" customWidth="1"/>
    <col min="7692" max="7692" width="4.42578125" style="944" customWidth="1"/>
    <col min="7693" max="7693" width="4.2109375" style="944" customWidth="1"/>
    <col min="7694" max="7694" width="3.0703125" style="944" customWidth="1"/>
    <col min="7695" max="7695" width="4.5703125" style="944" customWidth="1"/>
    <col min="7696" max="7696" width="4.42578125" style="944" customWidth="1"/>
    <col min="7697" max="7697" width="4" style="944" customWidth="1"/>
    <col min="7698" max="7698" width="3" style="944" customWidth="1"/>
    <col min="7699" max="7699" width="3.92578125" style="944" customWidth="1"/>
    <col min="7700" max="7700" width="4.42578125" style="944" customWidth="1"/>
    <col min="7701" max="7701" width="3.42578125" style="944" customWidth="1"/>
    <col min="7702" max="7702" width="4.92578125" style="944" customWidth="1"/>
    <col min="7703" max="7703" width="10.5703125" style="944" customWidth="1"/>
    <col min="7704" max="7704" width="7.0703125" style="944" customWidth="1"/>
    <col min="7705" max="7705" width="8.0703125" style="944" customWidth="1"/>
    <col min="7706" max="7706" width="7.5703125" style="944" customWidth="1"/>
    <col min="7707" max="7708" width="7.7109375" style="944" customWidth="1"/>
    <col min="7709" max="7709" width="7.0703125" style="944" customWidth="1"/>
    <col min="7710" max="7935" width="9.140625" style="944"/>
    <col min="7936" max="7936" width="4.42578125" style="944" customWidth="1"/>
    <col min="7937" max="7937" width="20.5703125" style="944" customWidth="1"/>
    <col min="7938" max="7938" width="12.42578125" style="944" customWidth="1"/>
    <col min="7939" max="7939" width="12.5703125" style="944" customWidth="1"/>
    <col min="7940" max="7940" width="3.92578125" style="944" customWidth="1"/>
    <col min="7941" max="7941" width="4.2109375" style="944" customWidth="1"/>
    <col min="7942" max="7942" width="4.0703125" style="944" customWidth="1"/>
    <col min="7943" max="7943" width="4" style="944" customWidth="1"/>
    <col min="7944" max="7944" width="16.42578125" style="944" customWidth="1"/>
    <col min="7945" max="7945" width="5.5703125" style="944" customWidth="1"/>
    <col min="7946" max="7946" width="8.7109375" style="944" customWidth="1"/>
    <col min="7947" max="7947" width="5.42578125" style="944" customWidth="1"/>
    <col min="7948" max="7948" width="4.42578125" style="944" customWidth="1"/>
    <col min="7949" max="7949" width="4.2109375" style="944" customWidth="1"/>
    <col min="7950" max="7950" width="3.0703125" style="944" customWidth="1"/>
    <col min="7951" max="7951" width="4.5703125" style="944" customWidth="1"/>
    <col min="7952" max="7952" width="4.42578125" style="944" customWidth="1"/>
    <col min="7953" max="7953" width="4" style="944" customWidth="1"/>
    <col min="7954" max="7954" width="3" style="944" customWidth="1"/>
    <col min="7955" max="7955" width="3.92578125" style="944" customWidth="1"/>
    <col min="7956" max="7956" width="4.42578125" style="944" customWidth="1"/>
    <col min="7957" max="7957" width="3.42578125" style="944" customWidth="1"/>
    <col min="7958" max="7958" width="4.92578125" style="944" customWidth="1"/>
    <col min="7959" max="7959" width="10.5703125" style="944" customWidth="1"/>
    <col min="7960" max="7960" width="7.0703125" style="944" customWidth="1"/>
    <col min="7961" max="7961" width="8.0703125" style="944" customWidth="1"/>
    <col min="7962" max="7962" width="7.5703125" style="944" customWidth="1"/>
    <col min="7963" max="7964" width="7.7109375" style="944" customWidth="1"/>
    <col min="7965" max="7965" width="7.0703125" style="944" customWidth="1"/>
    <col min="7966" max="8191" width="9.140625" style="944"/>
    <col min="8192" max="8192" width="4.42578125" style="944" customWidth="1"/>
    <col min="8193" max="8193" width="20.5703125" style="944" customWidth="1"/>
    <col min="8194" max="8194" width="12.42578125" style="944" customWidth="1"/>
    <col min="8195" max="8195" width="12.5703125" style="944" customWidth="1"/>
    <col min="8196" max="8196" width="3.92578125" style="944" customWidth="1"/>
    <col min="8197" max="8197" width="4.2109375" style="944" customWidth="1"/>
    <col min="8198" max="8198" width="4.0703125" style="944" customWidth="1"/>
    <col min="8199" max="8199" width="4" style="944" customWidth="1"/>
    <col min="8200" max="8200" width="16.42578125" style="944" customWidth="1"/>
    <col min="8201" max="8201" width="5.5703125" style="944" customWidth="1"/>
    <col min="8202" max="8202" width="8.7109375" style="944" customWidth="1"/>
    <col min="8203" max="8203" width="5.42578125" style="944" customWidth="1"/>
    <col min="8204" max="8204" width="4.42578125" style="944" customWidth="1"/>
    <col min="8205" max="8205" width="4.2109375" style="944" customWidth="1"/>
    <col min="8206" max="8206" width="3.0703125" style="944" customWidth="1"/>
    <col min="8207" max="8207" width="4.5703125" style="944" customWidth="1"/>
    <col min="8208" max="8208" width="4.42578125" style="944" customWidth="1"/>
    <col min="8209" max="8209" width="4" style="944" customWidth="1"/>
    <col min="8210" max="8210" width="3" style="944" customWidth="1"/>
    <col min="8211" max="8211" width="3.92578125" style="944" customWidth="1"/>
    <col min="8212" max="8212" width="4.42578125" style="944" customWidth="1"/>
    <col min="8213" max="8213" width="3.42578125" style="944" customWidth="1"/>
    <col min="8214" max="8214" width="4.92578125" style="944" customWidth="1"/>
    <col min="8215" max="8215" width="10.5703125" style="944" customWidth="1"/>
    <col min="8216" max="8216" width="7.0703125" style="944" customWidth="1"/>
    <col min="8217" max="8217" width="8.0703125" style="944" customWidth="1"/>
    <col min="8218" max="8218" width="7.5703125" style="944" customWidth="1"/>
    <col min="8219" max="8220" width="7.7109375" style="944" customWidth="1"/>
    <col min="8221" max="8221" width="7.0703125" style="944" customWidth="1"/>
    <col min="8222" max="8447" width="9.140625" style="944"/>
    <col min="8448" max="8448" width="4.42578125" style="944" customWidth="1"/>
    <col min="8449" max="8449" width="20.5703125" style="944" customWidth="1"/>
    <col min="8450" max="8450" width="12.42578125" style="944" customWidth="1"/>
    <col min="8451" max="8451" width="12.5703125" style="944" customWidth="1"/>
    <col min="8452" max="8452" width="3.92578125" style="944" customWidth="1"/>
    <col min="8453" max="8453" width="4.2109375" style="944" customWidth="1"/>
    <col min="8454" max="8454" width="4.0703125" style="944" customWidth="1"/>
    <col min="8455" max="8455" width="4" style="944" customWidth="1"/>
    <col min="8456" max="8456" width="16.42578125" style="944" customWidth="1"/>
    <col min="8457" max="8457" width="5.5703125" style="944" customWidth="1"/>
    <col min="8458" max="8458" width="8.7109375" style="944" customWidth="1"/>
    <col min="8459" max="8459" width="5.42578125" style="944" customWidth="1"/>
    <col min="8460" max="8460" width="4.42578125" style="944" customWidth="1"/>
    <col min="8461" max="8461" width="4.2109375" style="944" customWidth="1"/>
    <col min="8462" max="8462" width="3.0703125" style="944" customWidth="1"/>
    <col min="8463" max="8463" width="4.5703125" style="944" customWidth="1"/>
    <col min="8464" max="8464" width="4.42578125" style="944" customWidth="1"/>
    <col min="8465" max="8465" width="4" style="944" customWidth="1"/>
    <col min="8466" max="8466" width="3" style="944" customWidth="1"/>
    <col min="8467" max="8467" width="3.92578125" style="944" customWidth="1"/>
    <col min="8468" max="8468" width="4.42578125" style="944" customWidth="1"/>
    <col min="8469" max="8469" width="3.42578125" style="944" customWidth="1"/>
    <col min="8470" max="8470" width="4.92578125" style="944" customWidth="1"/>
    <col min="8471" max="8471" width="10.5703125" style="944" customWidth="1"/>
    <col min="8472" max="8472" width="7.0703125" style="944" customWidth="1"/>
    <col min="8473" max="8473" width="8.0703125" style="944" customWidth="1"/>
    <col min="8474" max="8474" width="7.5703125" style="944" customWidth="1"/>
    <col min="8475" max="8476" width="7.7109375" style="944" customWidth="1"/>
    <col min="8477" max="8477" width="7.0703125" style="944" customWidth="1"/>
    <col min="8478" max="8703" width="9.140625" style="944"/>
    <col min="8704" max="8704" width="4.42578125" style="944" customWidth="1"/>
    <col min="8705" max="8705" width="20.5703125" style="944" customWidth="1"/>
    <col min="8706" max="8706" width="12.42578125" style="944" customWidth="1"/>
    <col min="8707" max="8707" width="12.5703125" style="944" customWidth="1"/>
    <col min="8708" max="8708" width="3.92578125" style="944" customWidth="1"/>
    <col min="8709" max="8709" width="4.2109375" style="944" customWidth="1"/>
    <col min="8710" max="8710" width="4.0703125" style="944" customWidth="1"/>
    <col min="8711" max="8711" width="4" style="944" customWidth="1"/>
    <col min="8712" max="8712" width="16.42578125" style="944" customWidth="1"/>
    <col min="8713" max="8713" width="5.5703125" style="944" customWidth="1"/>
    <col min="8714" max="8714" width="8.7109375" style="944" customWidth="1"/>
    <col min="8715" max="8715" width="5.42578125" style="944" customWidth="1"/>
    <col min="8716" max="8716" width="4.42578125" style="944" customWidth="1"/>
    <col min="8717" max="8717" width="4.2109375" style="944" customWidth="1"/>
    <col min="8718" max="8718" width="3.0703125" style="944" customWidth="1"/>
    <col min="8719" max="8719" width="4.5703125" style="944" customWidth="1"/>
    <col min="8720" max="8720" width="4.42578125" style="944" customWidth="1"/>
    <col min="8721" max="8721" width="4" style="944" customWidth="1"/>
    <col min="8722" max="8722" width="3" style="944" customWidth="1"/>
    <col min="8723" max="8723" width="3.92578125" style="944" customWidth="1"/>
    <col min="8724" max="8724" width="4.42578125" style="944" customWidth="1"/>
    <col min="8725" max="8725" width="3.42578125" style="944" customWidth="1"/>
    <col min="8726" max="8726" width="4.92578125" style="944" customWidth="1"/>
    <col min="8727" max="8727" width="10.5703125" style="944" customWidth="1"/>
    <col min="8728" max="8728" width="7.0703125" style="944" customWidth="1"/>
    <col min="8729" max="8729" width="8.0703125" style="944" customWidth="1"/>
    <col min="8730" max="8730" width="7.5703125" style="944" customWidth="1"/>
    <col min="8731" max="8732" width="7.7109375" style="944" customWidth="1"/>
    <col min="8733" max="8733" width="7.0703125" style="944" customWidth="1"/>
    <col min="8734" max="8959" width="9.140625" style="944"/>
    <col min="8960" max="8960" width="4.42578125" style="944" customWidth="1"/>
    <col min="8961" max="8961" width="20.5703125" style="944" customWidth="1"/>
    <col min="8962" max="8962" width="12.42578125" style="944" customWidth="1"/>
    <col min="8963" max="8963" width="12.5703125" style="944" customWidth="1"/>
    <col min="8964" max="8964" width="3.92578125" style="944" customWidth="1"/>
    <col min="8965" max="8965" width="4.2109375" style="944" customWidth="1"/>
    <col min="8966" max="8966" width="4.0703125" style="944" customWidth="1"/>
    <col min="8967" max="8967" width="4" style="944" customWidth="1"/>
    <col min="8968" max="8968" width="16.42578125" style="944" customWidth="1"/>
    <col min="8969" max="8969" width="5.5703125" style="944" customWidth="1"/>
    <col min="8970" max="8970" width="8.7109375" style="944" customWidth="1"/>
    <col min="8971" max="8971" width="5.42578125" style="944" customWidth="1"/>
    <col min="8972" max="8972" width="4.42578125" style="944" customWidth="1"/>
    <col min="8973" max="8973" width="4.2109375" style="944" customWidth="1"/>
    <col min="8974" max="8974" width="3.0703125" style="944" customWidth="1"/>
    <col min="8975" max="8975" width="4.5703125" style="944" customWidth="1"/>
    <col min="8976" max="8976" width="4.42578125" style="944" customWidth="1"/>
    <col min="8977" max="8977" width="4" style="944" customWidth="1"/>
    <col min="8978" max="8978" width="3" style="944" customWidth="1"/>
    <col min="8979" max="8979" width="3.92578125" style="944" customWidth="1"/>
    <col min="8980" max="8980" width="4.42578125" style="944" customWidth="1"/>
    <col min="8981" max="8981" width="3.42578125" style="944" customWidth="1"/>
    <col min="8982" max="8982" width="4.92578125" style="944" customWidth="1"/>
    <col min="8983" max="8983" width="10.5703125" style="944" customWidth="1"/>
    <col min="8984" max="8984" width="7.0703125" style="944" customWidth="1"/>
    <col min="8985" max="8985" width="8.0703125" style="944" customWidth="1"/>
    <col min="8986" max="8986" width="7.5703125" style="944" customWidth="1"/>
    <col min="8987" max="8988" width="7.7109375" style="944" customWidth="1"/>
    <col min="8989" max="8989" width="7.0703125" style="944" customWidth="1"/>
    <col min="8990" max="9215" width="9.140625" style="944"/>
    <col min="9216" max="9216" width="4.42578125" style="944" customWidth="1"/>
    <col min="9217" max="9217" width="20.5703125" style="944" customWidth="1"/>
    <col min="9218" max="9218" width="12.42578125" style="944" customWidth="1"/>
    <col min="9219" max="9219" width="12.5703125" style="944" customWidth="1"/>
    <col min="9220" max="9220" width="3.92578125" style="944" customWidth="1"/>
    <col min="9221" max="9221" width="4.2109375" style="944" customWidth="1"/>
    <col min="9222" max="9222" width="4.0703125" style="944" customWidth="1"/>
    <col min="9223" max="9223" width="4" style="944" customWidth="1"/>
    <col min="9224" max="9224" width="16.42578125" style="944" customWidth="1"/>
    <col min="9225" max="9225" width="5.5703125" style="944" customWidth="1"/>
    <col min="9226" max="9226" width="8.7109375" style="944" customWidth="1"/>
    <col min="9227" max="9227" width="5.42578125" style="944" customWidth="1"/>
    <col min="9228" max="9228" width="4.42578125" style="944" customWidth="1"/>
    <col min="9229" max="9229" width="4.2109375" style="944" customWidth="1"/>
    <col min="9230" max="9230" width="3.0703125" style="944" customWidth="1"/>
    <col min="9231" max="9231" width="4.5703125" style="944" customWidth="1"/>
    <col min="9232" max="9232" width="4.42578125" style="944" customWidth="1"/>
    <col min="9233" max="9233" width="4" style="944" customWidth="1"/>
    <col min="9234" max="9234" width="3" style="944" customWidth="1"/>
    <col min="9235" max="9235" width="3.92578125" style="944" customWidth="1"/>
    <col min="9236" max="9236" width="4.42578125" style="944" customWidth="1"/>
    <col min="9237" max="9237" width="3.42578125" style="944" customWidth="1"/>
    <col min="9238" max="9238" width="4.92578125" style="944" customWidth="1"/>
    <col min="9239" max="9239" width="10.5703125" style="944" customWidth="1"/>
    <col min="9240" max="9240" width="7.0703125" style="944" customWidth="1"/>
    <col min="9241" max="9241" width="8.0703125" style="944" customWidth="1"/>
    <col min="9242" max="9242" width="7.5703125" style="944" customWidth="1"/>
    <col min="9243" max="9244" width="7.7109375" style="944" customWidth="1"/>
    <col min="9245" max="9245" width="7.0703125" style="944" customWidth="1"/>
    <col min="9246" max="9471" width="9.140625" style="944"/>
    <col min="9472" max="9472" width="4.42578125" style="944" customWidth="1"/>
    <col min="9473" max="9473" width="20.5703125" style="944" customWidth="1"/>
    <col min="9474" max="9474" width="12.42578125" style="944" customWidth="1"/>
    <col min="9475" max="9475" width="12.5703125" style="944" customWidth="1"/>
    <col min="9476" max="9476" width="3.92578125" style="944" customWidth="1"/>
    <col min="9477" max="9477" width="4.2109375" style="944" customWidth="1"/>
    <col min="9478" max="9478" width="4.0703125" style="944" customWidth="1"/>
    <col min="9479" max="9479" width="4" style="944" customWidth="1"/>
    <col min="9480" max="9480" width="16.42578125" style="944" customWidth="1"/>
    <col min="9481" max="9481" width="5.5703125" style="944" customWidth="1"/>
    <col min="9482" max="9482" width="8.7109375" style="944" customWidth="1"/>
    <col min="9483" max="9483" width="5.42578125" style="944" customWidth="1"/>
    <col min="9484" max="9484" width="4.42578125" style="944" customWidth="1"/>
    <col min="9485" max="9485" width="4.2109375" style="944" customWidth="1"/>
    <col min="9486" max="9486" width="3.0703125" style="944" customWidth="1"/>
    <col min="9487" max="9487" width="4.5703125" style="944" customWidth="1"/>
    <col min="9488" max="9488" width="4.42578125" style="944" customWidth="1"/>
    <col min="9489" max="9489" width="4" style="944" customWidth="1"/>
    <col min="9490" max="9490" width="3" style="944" customWidth="1"/>
    <col min="9491" max="9491" width="3.92578125" style="944" customWidth="1"/>
    <col min="9492" max="9492" width="4.42578125" style="944" customWidth="1"/>
    <col min="9493" max="9493" width="3.42578125" style="944" customWidth="1"/>
    <col min="9494" max="9494" width="4.92578125" style="944" customWidth="1"/>
    <col min="9495" max="9495" width="10.5703125" style="944" customWidth="1"/>
    <col min="9496" max="9496" width="7.0703125" style="944" customWidth="1"/>
    <col min="9497" max="9497" width="8.0703125" style="944" customWidth="1"/>
    <col min="9498" max="9498" width="7.5703125" style="944" customWidth="1"/>
    <col min="9499" max="9500" width="7.7109375" style="944" customWidth="1"/>
    <col min="9501" max="9501" width="7.0703125" style="944" customWidth="1"/>
    <col min="9502" max="9727" width="9.140625" style="944"/>
    <col min="9728" max="9728" width="4.42578125" style="944" customWidth="1"/>
    <col min="9729" max="9729" width="20.5703125" style="944" customWidth="1"/>
    <col min="9730" max="9730" width="12.42578125" style="944" customWidth="1"/>
    <col min="9731" max="9731" width="12.5703125" style="944" customWidth="1"/>
    <col min="9732" max="9732" width="3.92578125" style="944" customWidth="1"/>
    <col min="9733" max="9733" width="4.2109375" style="944" customWidth="1"/>
    <col min="9734" max="9734" width="4.0703125" style="944" customWidth="1"/>
    <col min="9735" max="9735" width="4" style="944" customWidth="1"/>
    <col min="9736" max="9736" width="16.42578125" style="944" customWidth="1"/>
    <col min="9737" max="9737" width="5.5703125" style="944" customWidth="1"/>
    <col min="9738" max="9738" width="8.7109375" style="944" customWidth="1"/>
    <col min="9739" max="9739" width="5.42578125" style="944" customWidth="1"/>
    <col min="9740" max="9740" width="4.42578125" style="944" customWidth="1"/>
    <col min="9741" max="9741" width="4.2109375" style="944" customWidth="1"/>
    <col min="9742" max="9742" width="3.0703125" style="944" customWidth="1"/>
    <col min="9743" max="9743" width="4.5703125" style="944" customWidth="1"/>
    <col min="9744" max="9744" width="4.42578125" style="944" customWidth="1"/>
    <col min="9745" max="9745" width="4" style="944" customWidth="1"/>
    <col min="9746" max="9746" width="3" style="944" customWidth="1"/>
    <col min="9747" max="9747" width="3.92578125" style="944" customWidth="1"/>
    <col min="9748" max="9748" width="4.42578125" style="944" customWidth="1"/>
    <col min="9749" max="9749" width="3.42578125" style="944" customWidth="1"/>
    <col min="9750" max="9750" width="4.92578125" style="944" customWidth="1"/>
    <col min="9751" max="9751" width="10.5703125" style="944" customWidth="1"/>
    <col min="9752" max="9752" width="7.0703125" style="944" customWidth="1"/>
    <col min="9753" max="9753" width="8.0703125" style="944" customWidth="1"/>
    <col min="9754" max="9754" width="7.5703125" style="944" customWidth="1"/>
    <col min="9755" max="9756" width="7.7109375" style="944" customWidth="1"/>
    <col min="9757" max="9757" width="7.0703125" style="944" customWidth="1"/>
    <col min="9758" max="9983" width="9.140625" style="944"/>
    <col min="9984" max="9984" width="4.42578125" style="944" customWidth="1"/>
    <col min="9985" max="9985" width="20.5703125" style="944" customWidth="1"/>
    <col min="9986" max="9986" width="12.42578125" style="944" customWidth="1"/>
    <col min="9987" max="9987" width="12.5703125" style="944" customWidth="1"/>
    <col min="9988" max="9988" width="3.92578125" style="944" customWidth="1"/>
    <col min="9989" max="9989" width="4.2109375" style="944" customWidth="1"/>
    <col min="9990" max="9990" width="4.0703125" style="944" customWidth="1"/>
    <col min="9991" max="9991" width="4" style="944" customWidth="1"/>
    <col min="9992" max="9992" width="16.42578125" style="944" customWidth="1"/>
    <col min="9993" max="9993" width="5.5703125" style="944" customWidth="1"/>
    <col min="9994" max="9994" width="8.7109375" style="944" customWidth="1"/>
    <col min="9995" max="9995" width="5.42578125" style="944" customWidth="1"/>
    <col min="9996" max="9996" width="4.42578125" style="944" customWidth="1"/>
    <col min="9997" max="9997" width="4.2109375" style="944" customWidth="1"/>
    <col min="9998" max="9998" width="3.0703125" style="944" customWidth="1"/>
    <col min="9999" max="9999" width="4.5703125" style="944" customWidth="1"/>
    <col min="10000" max="10000" width="4.42578125" style="944" customWidth="1"/>
    <col min="10001" max="10001" width="4" style="944" customWidth="1"/>
    <col min="10002" max="10002" width="3" style="944" customWidth="1"/>
    <col min="10003" max="10003" width="3.92578125" style="944" customWidth="1"/>
    <col min="10004" max="10004" width="4.42578125" style="944" customWidth="1"/>
    <col min="10005" max="10005" width="3.42578125" style="944" customWidth="1"/>
    <col min="10006" max="10006" width="4.92578125" style="944" customWidth="1"/>
    <col min="10007" max="10007" width="10.5703125" style="944" customWidth="1"/>
    <col min="10008" max="10008" width="7.0703125" style="944" customWidth="1"/>
    <col min="10009" max="10009" width="8.0703125" style="944" customWidth="1"/>
    <col min="10010" max="10010" width="7.5703125" style="944" customWidth="1"/>
    <col min="10011" max="10012" width="7.7109375" style="944" customWidth="1"/>
    <col min="10013" max="10013" width="7.0703125" style="944" customWidth="1"/>
    <col min="10014" max="10239" width="9.140625" style="944"/>
    <col min="10240" max="10240" width="4.42578125" style="944" customWidth="1"/>
    <col min="10241" max="10241" width="20.5703125" style="944" customWidth="1"/>
    <col min="10242" max="10242" width="12.42578125" style="944" customWidth="1"/>
    <col min="10243" max="10243" width="12.5703125" style="944" customWidth="1"/>
    <col min="10244" max="10244" width="3.92578125" style="944" customWidth="1"/>
    <col min="10245" max="10245" width="4.2109375" style="944" customWidth="1"/>
    <col min="10246" max="10246" width="4.0703125" style="944" customWidth="1"/>
    <col min="10247" max="10247" width="4" style="944" customWidth="1"/>
    <col min="10248" max="10248" width="16.42578125" style="944" customWidth="1"/>
    <col min="10249" max="10249" width="5.5703125" style="944" customWidth="1"/>
    <col min="10250" max="10250" width="8.7109375" style="944" customWidth="1"/>
    <col min="10251" max="10251" width="5.42578125" style="944" customWidth="1"/>
    <col min="10252" max="10252" width="4.42578125" style="944" customWidth="1"/>
    <col min="10253" max="10253" width="4.2109375" style="944" customWidth="1"/>
    <col min="10254" max="10254" width="3.0703125" style="944" customWidth="1"/>
    <col min="10255" max="10255" width="4.5703125" style="944" customWidth="1"/>
    <col min="10256" max="10256" width="4.42578125" style="944" customWidth="1"/>
    <col min="10257" max="10257" width="4" style="944" customWidth="1"/>
    <col min="10258" max="10258" width="3" style="944" customWidth="1"/>
    <col min="10259" max="10259" width="3.92578125" style="944" customWidth="1"/>
    <col min="10260" max="10260" width="4.42578125" style="944" customWidth="1"/>
    <col min="10261" max="10261" width="3.42578125" style="944" customWidth="1"/>
    <col min="10262" max="10262" width="4.92578125" style="944" customWidth="1"/>
    <col min="10263" max="10263" width="10.5703125" style="944" customWidth="1"/>
    <col min="10264" max="10264" width="7.0703125" style="944" customWidth="1"/>
    <col min="10265" max="10265" width="8.0703125" style="944" customWidth="1"/>
    <col min="10266" max="10266" width="7.5703125" style="944" customWidth="1"/>
    <col min="10267" max="10268" width="7.7109375" style="944" customWidth="1"/>
    <col min="10269" max="10269" width="7.0703125" style="944" customWidth="1"/>
    <col min="10270" max="10495" width="9.140625" style="944"/>
    <col min="10496" max="10496" width="4.42578125" style="944" customWidth="1"/>
    <col min="10497" max="10497" width="20.5703125" style="944" customWidth="1"/>
    <col min="10498" max="10498" width="12.42578125" style="944" customWidth="1"/>
    <col min="10499" max="10499" width="12.5703125" style="944" customWidth="1"/>
    <col min="10500" max="10500" width="3.92578125" style="944" customWidth="1"/>
    <col min="10501" max="10501" width="4.2109375" style="944" customWidth="1"/>
    <col min="10502" max="10502" width="4.0703125" style="944" customWidth="1"/>
    <col min="10503" max="10503" width="4" style="944" customWidth="1"/>
    <col min="10504" max="10504" width="16.42578125" style="944" customWidth="1"/>
    <col min="10505" max="10505" width="5.5703125" style="944" customWidth="1"/>
    <col min="10506" max="10506" width="8.7109375" style="944" customWidth="1"/>
    <col min="10507" max="10507" width="5.42578125" style="944" customWidth="1"/>
    <col min="10508" max="10508" width="4.42578125" style="944" customWidth="1"/>
    <col min="10509" max="10509" width="4.2109375" style="944" customWidth="1"/>
    <col min="10510" max="10510" width="3.0703125" style="944" customWidth="1"/>
    <col min="10511" max="10511" width="4.5703125" style="944" customWidth="1"/>
    <col min="10512" max="10512" width="4.42578125" style="944" customWidth="1"/>
    <col min="10513" max="10513" width="4" style="944" customWidth="1"/>
    <col min="10514" max="10514" width="3" style="944" customWidth="1"/>
    <col min="10515" max="10515" width="3.92578125" style="944" customWidth="1"/>
    <col min="10516" max="10516" width="4.42578125" style="944" customWidth="1"/>
    <col min="10517" max="10517" width="3.42578125" style="944" customWidth="1"/>
    <col min="10518" max="10518" width="4.92578125" style="944" customWidth="1"/>
    <col min="10519" max="10519" width="10.5703125" style="944" customWidth="1"/>
    <col min="10520" max="10520" width="7.0703125" style="944" customWidth="1"/>
    <col min="10521" max="10521" width="8.0703125" style="944" customWidth="1"/>
    <col min="10522" max="10522" width="7.5703125" style="944" customWidth="1"/>
    <col min="10523" max="10524" width="7.7109375" style="944" customWidth="1"/>
    <col min="10525" max="10525" width="7.0703125" style="944" customWidth="1"/>
    <col min="10526" max="10751" width="9.140625" style="944"/>
    <col min="10752" max="10752" width="4.42578125" style="944" customWidth="1"/>
    <col min="10753" max="10753" width="20.5703125" style="944" customWidth="1"/>
    <col min="10754" max="10754" width="12.42578125" style="944" customWidth="1"/>
    <col min="10755" max="10755" width="12.5703125" style="944" customWidth="1"/>
    <col min="10756" max="10756" width="3.92578125" style="944" customWidth="1"/>
    <col min="10757" max="10757" width="4.2109375" style="944" customWidth="1"/>
    <col min="10758" max="10758" width="4.0703125" style="944" customWidth="1"/>
    <col min="10759" max="10759" width="4" style="944" customWidth="1"/>
    <col min="10760" max="10760" width="16.42578125" style="944" customWidth="1"/>
    <col min="10761" max="10761" width="5.5703125" style="944" customWidth="1"/>
    <col min="10762" max="10762" width="8.7109375" style="944" customWidth="1"/>
    <col min="10763" max="10763" width="5.42578125" style="944" customWidth="1"/>
    <col min="10764" max="10764" width="4.42578125" style="944" customWidth="1"/>
    <col min="10765" max="10765" width="4.2109375" style="944" customWidth="1"/>
    <col min="10766" max="10766" width="3.0703125" style="944" customWidth="1"/>
    <col min="10767" max="10767" width="4.5703125" style="944" customWidth="1"/>
    <col min="10768" max="10768" width="4.42578125" style="944" customWidth="1"/>
    <col min="10769" max="10769" width="4" style="944" customWidth="1"/>
    <col min="10770" max="10770" width="3" style="944" customWidth="1"/>
    <col min="10771" max="10771" width="3.92578125" style="944" customWidth="1"/>
    <col min="10772" max="10772" width="4.42578125" style="944" customWidth="1"/>
    <col min="10773" max="10773" width="3.42578125" style="944" customWidth="1"/>
    <col min="10774" max="10774" width="4.92578125" style="944" customWidth="1"/>
    <col min="10775" max="10775" width="10.5703125" style="944" customWidth="1"/>
    <col min="10776" max="10776" width="7.0703125" style="944" customWidth="1"/>
    <col min="10777" max="10777" width="8.0703125" style="944" customWidth="1"/>
    <col min="10778" max="10778" width="7.5703125" style="944" customWidth="1"/>
    <col min="10779" max="10780" width="7.7109375" style="944" customWidth="1"/>
    <col min="10781" max="10781" width="7.0703125" style="944" customWidth="1"/>
    <col min="10782" max="11007" width="9.140625" style="944"/>
    <col min="11008" max="11008" width="4.42578125" style="944" customWidth="1"/>
    <col min="11009" max="11009" width="20.5703125" style="944" customWidth="1"/>
    <col min="11010" max="11010" width="12.42578125" style="944" customWidth="1"/>
    <col min="11011" max="11011" width="12.5703125" style="944" customWidth="1"/>
    <col min="11012" max="11012" width="3.92578125" style="944" customWidth="1"/>
    <col min="11013" max="11013" width="4.2109375" style="944" customWidth="1"/>
    <col min="11014" max="11014" width="4.0703125" style="944" customWidth="1"/>
    <col min="11015" max="11015" width="4" style="944" customWidth="1"/>
    <col min="11016" max="11016" width="16.42578125" style="944" customWidth="1"/>
    <col min="11017" max="11017" width="5.5703125" style="944" customWidth="1"/>
    <col min="11018" max="11018" width="8.7109375" style="944" customWidth="1"/>
    <col min="11019" max="11019" width="5.42578125" style="944" customWidth="1"/>
    <col min="11020" max="11020" width="4.42578125" style="944" customWidth="1"/>
    <col min="11021" max="11021" width="4.2109375" style="944" customWidth="1"/>
    <col min="11022" max="11022" width="3.0703125" style="944" customWidth="1"/>
    <col min="11023" max="11023" width="4.5703125" style="944" customWidth="1"/>
    <col min="11024" max="11024" width="4.42578125" style="944" customWidth="1"/>
    <col min="11025" max="11025" width="4" style="944" customWidth="1"/>
    <col min="11026" max="11026" width="3" style="944" customWidth="1"/>
    <col min="11027" max="11027" width="3.92578125" style="944" customWidth="1"/>
    <col min="11028" max="11028" width="4.42578125" style="944" customWidth="1"/>
    <col min="11029" max="11029" width="3.42578125" style="944" customWidth="1"/>
    <col min="11030" max="11030" width="4.92578125" style="944" customWidth="1"/>
    <col min="11031" max="11031" width="10.5703125" style="944" customWidth="1"/>
    <col min="11032" max="11032" width="7.0703125" style="944" customWidth="1"/>
    <col min="11033" max="11033" width="8.0703125" style="944" customWidth="1"/>
    <col min="11034" max="11034" width="7.5703125" style="944" customWidth="1"/>
    <col min="11035" max="11036" width="7.7109375" style="944" customWidth="1"/>
    <col min="11037" max="11037" width="7.0703125" style="944" customWidth="1"/>
    <col min="11038" max="11263" width="9.140625" style="944"/>
    <col min="11264" max="11264" width="4.42578125" style="944" customWidth="1"/>
    <col min="11265" max="11265" width="20.5703125" style="944" customWidth="1"/>
    <col min="11266" max="11266" width="12.42578125" style="944" customWidth="1"/>
    <col min="11267" max="11267" width="12.5703125" style="944" customWidth="1"/>
    <col min="11268" max="11268" width="3.92578125" style="944" customWidth="1"/>
    <col min="11269" max="11269" width="4.2109375" style="944" customWidth="1"/>
    <col min="11270" max="11270" width="4.0703125" style="944" customWidth="1"/>
    <col min="11271" max="11271" width="4" style="944" customWidth="1"/>
    <col min="11272" max="11272" width="16.42578125" style="944" customWidth="1"/>
    <col min="11273" max="11273" width="5.5703125" style="944" customWidth="1"/>
    <col min="11274" max="11274" width="8.7109375" style="944" customWidth="1"/>
    <col min="11275" max="11275" width="5.42578125" style="944" customWidth="1"/>
    <col min="11276" max="11276" width="4.42578125" style="944" customWidth="1"/>
    <col min="11277" max="11277" width="4.2109375" style="944" customWidth="1"/>
    <col min="11278" max="11278" width="3.0703125" style="944" customWidth="1"/>
    <col min="11279" max="11279" width="4.5703125" style="944" customWidth="1"/>
    <col min="11280" max="11280" width="4.42578125" style="944" customWidth="1"/>
    <col min="11281" max="11281" width="4" style="944" customWidth="1"/>
    <col min="11282" max="11282" width="3" style="944" customWidth="1"/>
    <col min="11283" max="11283" width="3.92578125" style="944" customWidth="1"/>
    <col min="11284" max="11284" width="4.42578125" style="944" customWidth="1"/>
    <col min="11285" max="11285" width="3.42578125" style="944" customWidth="1"/>
    <col min="11286" max="11286" width="4.92578125" style="944" customWidth="1"/>
    <col min="11287" max="11287" width="10.5703125" style="944" customWidth="1"/>
    <col min="11288" max="11288" width="7.0703125" style="944" customWidth="1"/>
    <col min="11289" max="11289" width="8.0703125" style="944" customWidth="1"/>
    <col min="11290" max="11290" width="7.5703125" style="944" customWidth="1"/>
    <col min="11291" max="11292" width="7.7109375" style="944" customWidth="1"/>
    <col min="11293" max="11293" width="7.0703125" style="944" customWidth="1"/>
    <col min="11294" max="11519" width="9.140625" style="944"/>
    <col min="11520" max="11520" width="4.42578125" style="944" customWidth="1"/>
    <col min="11521" max="11521" width="20.5703125" style="944" customWidth="1"/>
    <col min="11522" max="11522" width="12.42578125" style="944" customWidth="1"/>
    <col min="11523" max="11523" width="12.5703125" style="944" customWidth="1"/>
    <col min="11524" max="11524" width="3.92578125" style="944" customWidth="1"/>
    <col min="11525" max="11525" width="4.2109375" style="944" customWidth="1"/>
    <col min="11526" max="11526" width="4.0703125" style="944" customWidth="1"/>
    <col min="11527" max="11527" width="4" style="944" customWidth="1"/>
    <col min="11528" max="11528" width="16.42578125" style="944" customWidth="1"/>
    <col min="11529" max="11529" width="5.5703125" style="944" customWidth="1"/>
    <col min="11530" max="11530" width="8.7109375" style="944" customWidth="1"/>
    <col min="11531" max="11531" width="5.42578125" style="944" customWidth="1"/>
    <col min="11532" max="11532" width="4.42578125" style="944" customWidth="1"/>
    <col min="11533" max="11533" width="4.2109375" style="944" customWidth="1"/>
    <col min="11534" max="11534" width="3.0703125" style="944" customWidth="1"/>
    <col min="11535" max="11535" width="4.5703125" style="944" customWidth="1"/>
    <col min="11536" max="11536" width="4.42578125" style="944" customWidth="1"/>
    <col min="11537" max="11537" width="4" style="944" customWidth="1"/>
    <col min="11538" max="11538" width="3" style="944" customWidth="1"/>
    <col min="11539" max="11539" width="3.92578125" style="944" customWidth="1"/>
    <col min="11540" max="11540" width="4.42578125" style="944" customWidth="1"/>
    <col min="11541" max="11541" width="3.42578125" style="944" customWidth="1"/>
    <col min="11542" max="11542" width="4.92578125" style="944" customWidth="1"/>
    <col min="11543" max="11543" width="10.5703125" style="944" customWidth="1"/>
    <col min="11544" max="11544" width="7.0703125" style="944" customWidth="1"/>
    <col min="11545" max="11545" width="8.0703125" style="944" customWidth="1"/>
    <col min="11546" max="11546" width="7.5703125" style="944" customWidth="1"/>
    <col min="11547" max="11548" width="7.7109375" style="944" customWidth="1"/>
    <col min="11549" max="11549" width="7.0703125" style="944" customWidth="1"/>
    <col min="11550" max="11775" width="9.140625" style="944"/>
    <col min="11776" max="11776" width="4.42578125" style="944" customWidth="1"/>
    <col min="11777" max="11777" width="20.5703125" style="944" customWidth="1"/>
    <col min="11778" max="11778" width="12.42578125" style="944" customWidth="1"/>
    <col min="11779" max="11779" width="12.5703125" style="944" customWidth="1"/>
    <col min="11780" max="11780" width="3.92578125" style="944" customWidth="1"/>
    <col min="11781" max="11781" width="4.2109375" style="944" customWidth="1"/>
    <col min="11782" max="11782" width="4.0703125" style="944" customWidth="1"/>
    <col min="11783" max="11783" width="4" style="944" customWidth="1"/>
    <col min="11784" max="11784" width="16.42578125" style="944" customWidth="1"/>
    <col min="11785" max="11785" width="5.5703125" style="944" customWidth="1"/>
    <col min="11786" max="11786" width="8.7109375" style="944" customWidth="1"/>
    <col min="11787" max="11787" width="5.42578125" style="944" customWidth="1"/>
    <col min="11788" max="11788" width="4.42578125" style="944" customWidth="1"/>
    <col min="11789" max="11789" width="4.2109375" style="944" customWidth="1"/>
    <col min="11790" max="11790" width="3.0703125" style="944" customWidth="1"/>
    <col min="11791" max="11791" width="4.5703125" style="944" customWidth="1"/>
    <col min="11792" max="11792" width="4.42578125" style="944" customWidth="1"/>
    <col min="11793" max="11793" width="4" style="944" customWidth="1"/>
    <col min="11794" max="11794" width="3" style="944" customWidth="1"/>
    <col min="11795" max="11795" width="3.92578125" style="944" customWidth="1"/>
    <col min="11796" max="11796" width="4.42578125" style="944" customWidth="1"/>
    <col min="11797" max="11797" width="3.42578125" style="944" customWidth="1"/>
    <col min="11798" max="11798" width="4.92578125" style="944" customWidth="1"/>
    <col min="11799" max="11799" width="10.5703125" style="944" customWidth="1"/>
    <col min="11800" max="11800" width="7.0703125" style="944" customWidth="1"/>
    <col min="11801" max="11801" width="8.0703125" style="944" customWidth="1"/>
    <col min="11802" max="11802" width="7.5703125" style="944" customWidth="1"/>
    <col min="11803" max="11804" width="7.7109375" style="944" customWidth="1"/>
    <col min="11805" max="11805" width="7.0703125" style="944" customWidth="1"/>
    <col min="11806" max="12031" width="9.140625" style="944"/>
    <col min="12032" max="12032" width="4.42578125" style="944" customWidth="1"/>
    <col min="12033" max="12033" width="20.5703125" style="944" customWidth="1"/>
    <col min="12034" max="12034" width="12.42578125" style="944" customWidth="1"/>
    <col min="12035" max="12035" width="12.5703125" style="944" customWidth="1"/>
    <col min="12036" max="12036" width="3.92578125" style="944" customWidth="1"/>
    <col min="12037" max="12037" width="4.2109375" style="944" customWidth="1"/>
    <col min="12038" max="12038" width="4.0703125" style="944" customWidth="1"/>
    <col min="12039" max="12039" width="4" style="944" customWidth="1"/>
    <col min="12040" max="12040" width="16.42578125" style="944" customWidth="1"/>
    <col min="12041" max="12041" width="5.5703125" style="944" customWidth="1"/>
    <col min="12042" max="12042" width="8.7109375" style="944" customWidth="1"/>
    <col min="12043" max="12043" width="5.42578125" style="944" customWidth="1"/>
    <col min="12044" max="12044" width="4.42578125" style="944" customWidth="1"/>
    <col min="12045" max="12045" width="4.2109375" style="944" customWidth="1"/>
    <col min="12046" max="12046" width="3.0703125" style="944" customWidth="1"/>
    <col min="12047" max="12047" width="4.5703125" style="944" customWidth="1"/>
    <col min="12048" max="12048" width="4.42578125" style="944" customWidth="1"/>
    <col min="12049" max="12049" width="4" style="944" customWidth="1"/>
    <col min="12050" max="12050" width="3" style="944" customWidth="1"/>
    <col min="12051" max="12051" width="3.92578125" style="944" customWidth="1"/>
    <col min="12052" max="12052" width="4.42578125" style="944" customWidth="1"/>
    <col min="12053" max="12053" width="3.42578125" style="944" customWidth="1"/>
    <col min="12054" max="12054" width="4.92578125" style="944" customWidth="1"/>
    <col min="12055" max="12055" width="10.5703125" style="944" customWidth="1"/>
    <col min="12056" max="12056" width="7.0703125" style="944" customWidth="1"/>
    <col min="12057" max="12057" width="8.0703125" style="944" customWidth="1"/>
    <col min="12058" max="12058" width="7.5703125" style="944" customWidth="1"/>
    <col min="12059" max="12060" width="7.7109375" style="944" customWidth="1"/>
    <col min="12061" max="12061" width="7.0703125" style="944" customWidth="1"/>
    <col min="12062" max="12287" width="9.140625" style="944"/>
    <col min="12288" max="12288" width="4.42578125" style="944" customWidth="1"/>
    <col min="12289" max="12289" width="20.5703125" style="944" customWidth="1"/>
    <col min="12290" max="12290" width="12.42578125" style="944" customWidth="1"/>
    <col min="12291" max="12291" width="12.5703125" style="944" customWidth="1"/>
    <col min="12292" max="12292" width="3.92578125" style="944" customWidth="1"/>
    <col min="12293" max="12293" width="4.2109375" style="944" customWidth="1"/>
    <col min="12294" max="12294" width="4.0703125" style="944" customWidth="1"/>
    <col min="12295" max="12295" width="4" style="944" customWidth="1"/>
    <col min="12296" max="12296" width="16.42578125" style="944" customWidth="1"/>
    <col min="12297" max="12297" width="5.5703125" style="944" customWidth="1"/>
    <col min="12298" max="12298" width="8.7109375" style="944" customWidth="1"/>
    <col min="12299" max="12299" width="5.42578125" style="944" customWidth="1"/>
    <col min="12300" max="12300" width="4.42578125" style="944" customWidth="1"/>
    <col min="12301" max="12301" width="4.2109375" style="944" customWidth="1"/>
    <col min="12302" max="12302" width="3.0703125" style="944" customWidth="1"/>
    <col min="12303" max="12303" width="4.5703125" style="944" customWidth="1"/>
    <col min="12304" max="12304" width="4.42578125" style="944" customWidth="1"/>
    <col min="12305" max="12305" width="4" style="944" customWidth="1"/>
    <col min="12306" max="12306" width="3" style="944" customWidth="1"/>
    <col min="12307" max="12307" width="3.92578125" style="944" customWidth="1"/>
    <col min="12308" max="12308" width="4.42578125" style="944" customWidth="1"/>
    <col min="12309" max="12309" width="3.42578125" style="944" customWidth="1"/>
    <col min="12310" max="12310" width="4.92578125" style="944" customWidth="1"/>
    <col min="12311" max="12311" width="10.5703125" style="944" customWidth="1"/>
    <col min="12312" max="12312" width="7.0703125" style="944" customWidth="1"/>
    <col min="12313" max="12313" width="8.0703125" style="944" customWidth="1"/>
    <col min="12314" max="12314" width="7.5703125" style="944" customWidth="1"/>
    <col min="12315" max="12316" width="7.7109375" style="944" customWidth="1"/>
    <col min="12317" max="12317" width="7.0703125" style="944" customWidth="1"/>
    <col min="12318" max="12543" width="9.140625" style="944"/>
    <col min="12544" max="12544" width="4.42578125" style="944" customWidth="1"/>
    <col min="12545" max="12545" width="20.5703125" style="944" customWidth="1"/>
    <col min="12546" max="12546" width="12.42578125" style="944" customWidth="1"/>
    <col min="12547" max="12547" width="12.5703125" style="944" customWidth="1"/>
    <col min="12548" max="12548" width="3.92578125" style="944" customWidth="1"/>
    <col min="12549" max="12549" width="4.2109375" style="944" customWidth="1"/>
    <col min="12550" max="12550" width="4.0703125" style="944" customWidth="1"/>
    <col min="12551" max="12551" width="4" style="944" customWidth="1"/>
    <col min="12552" max="12552" width="16.42578125" style="944" customWidth="1"/>
    <col min="12553" max="12553" width="5.5703125" style="944" customWidth="1"/>
    <col min="12554" max="12554" width="8.7109375" style="944" customWidth="1"/>
    <col min="12555" max="12555" width="5.42578125" style="944" customWidth="1"/>
    <col min="12556" max="12556" width="4.42578125" style="944" customWidth="1"/>
    <col min="12557" max="12557" width="4.2109375" style="944" customWidth="1"/>
    <col min="12558" max="12558" width="3.0703125" style="944" customWidth="1"/>
    <col min="12559" max="12559" width="4.5703125" style="944" customWidth="1"/>
    <col min="12560" max="12560" width="4.42578125" style="944" customWidth="1"/>
    <col min="12561" max="12561" width="4" style="944" customWidth="1"/>
    <col min="12562" max="12562" width="3" style="944" customWidth="1"/>
    <col min="12563" max="12563" width="3.92578125" style="944" customWidth="1"/>
    <col min="12564" max="12564" width="4.42578125" style="944" customWidth="1"/>
    <col min="12565" max="12565" width="3.42578125" style="944" customWidth="1"/>
    <col min="12566" max="12566" width="4.92578125" style="944" customWidth="1"/>
    <col min="12567" max="12567" width="10.5703125" style="944" customWidth="1"/>
    <col min="12568" max="12568" width="7.0703125" style="944" customWidth="1"/>
    <col min="12569" max="12569" width="8.0703125" style="944" customWidth="1"/>
    <col min="12570" max="12570" width="7.5703125" style="944" customWidth="1"/>
    <col min="12571" max="12572" width="7.7109375" style="944" customWidth="1"/>
    <col min="12573" max="12573" width="7.0703125" style="944" customWidth="1"/>
    <col min="12574" max="12799" width="9.140625" style="944"/>
    <col min="12800" max="12800" width="4.42578125" style="944" customWidth="1"/>
    <col min="12801" max="12801" width="20.5703125" style="944" customWidth="1"/>
    <col min="12802" max="12802" width="12.42578125" style="944" customWidth="1"/>
    <col min="12803" max="12803" width="12.5703125" style="944" customWidth="1"/>
    <col min="12804" max="12804" width="3.92578125" style="944" customWidth="1"/>
    <col min="12805" max="12805" width="4.2109375" style="944" customWidth="1"/>
    <col min="12806" max="12806" width="4.0703125" style="944" customWidth="1"/>
    <col min="12807" max="12807" width="4" style="944" customWidth="1"/>
    <col min="12808" max="12808" width="16.42578125" style="944" customWidth="1"/>
    <col min="12809" max="12809" width="5.5703125" style="944" customWidth="1"/>
    <col min="12810" max="12810" width="8.7109375" style="944" customWidth="1"/>
    <col min="12811" max="12811" width="5.42578125" style="944" customWidth="1"/>
    <col min="12812" max="12812" width="4.42578125" style="944" customWidth="1"/>
    <col min="12813" max="12813" width="4.2109375" style="944" customWidth="1"/>
    <col min="12814" max="12814" width="3.0703125" style="944" customWidth="1"/>
    <col min="12815" max="12815" width="4.5703125" style="944" customWidth="1"/>
    <col min="12816" max="12816" width="4.42578125" style="944" customWidth="1"/>
    <col min="12817" max="12817" width="4" style="944" customWidth="1"/>
    <col min="12818" max="12818" width="3" style="944" customWidth="1"/>
    <col min="12819" max="12819" width="3.92578125" style="944" customWidth="1"/>
    <col min="12820" max="12820" width="4.42578125" style="944" customWidth="1"/>
    <col min="12821" max="12821" width="3.42578125" style="944" customWidth="1"/>
    <col min="12822" max="12822" width="4.92578125" style="944" customWidth="1"/>
    <col min="12823" max="12823" width="10.5703125" style="944" customWidth="1"/>
    <col min="12824" max="12824" width="7.0703125" style="944" customWidth="1"/>
    <col min="12825" max="12825" width="8.0703125" style="944" customWidth="1"/>
    <col min="12826" max="12826" width="7.5703125" style="944" customWidth="1"/>
    <col min="12827" max="12828" width="7.7109375" style="944" customWidth="1"/>
    <col min="12829" max="12829" width="7.0703125" style="944" customWidth="1"/>
    <col min="12830" max="13055" width="9.140625" style="944"/>
    <col min="13056" max="13056" width="4.42578125" style="944" customWidth="1"/>
    <col min="13057" max="13057" width="20.5703125" style="944" customWidth="1"/>
    <col min="13058" max="13058" width="12.42578125" style="944" customWidth="1"/>
    <col min="13059" max="13059" width="12.5703125" style="944" customWidth="1"/>
    <col min="13060" max="13060" width="3.92578125" style="944" customWidth="1"/>
    <col min="13061" max="13061" width="4.2109375" style="944" customWidth="1"/>
    <col min="13062" max="13062" width="4.0703125" style="944" customWidth="1"/>
    <col min="13063" max="13063" width="4" style="944" customWidth="1"/>
    <col min="13064" max="13064" width="16.42578125" style="944" customWidth="1"/>
    <col min="13065" max="13065" width="5.5703125" style="944" customWidth="1"/>
    <col min="13066" max="13066" width="8.7109375" style="944" customWidth="1"/>
    <col min="13067" max="13067" width="5.42578125" style="944" customWidth="1"/>
    <col min="13068" max="13068" width="4.42578125" style="944" customWidth="1"/>
    <col min="13069" max="13069" width="4.2109375" style="944" customWidth="1"/>
    <col min="13070" max="13070" width="3.0703125" style="944" customWidth="1"/>
    <col min="13071" max="13071" width="4.5703125" style="944" customWidth="1"/>
    <col min="13072" max="13072" width="4.42578125" style="944" customWidth="1"/>
    <col min="13073" max="13073" width="4" style="944" customWidth="1"/>
    <col min="13074" max="13074" width="3" style="944" customWidth="1"/>
    <col min="13075" max="13075" width="3.92578125" style="944" customWidth="1"/>
    <col min="13076" max="13076" width="4.42578125" style="944" customWidth="1"/>
    <col min="13077" max="13077" width="3.42578125" style="944" customWidth="1"/>
    <col min="13078" max="13078" width="4.92578125" style="944" customWidth="1"/>
    <col min="13079" max="13079" width="10.5703125" style="944" customWidth="1"/>
    <col min="13080" max="13080" width="7.0703125" style="944" customWidth="1"/>
    <col min="13081" max="13081" width="8.0703125" style="944" customWidth="1"/>
    <col min="13082" max="13082" width="7.5703125" style="944" customWidth="1"/>
    <col min="13083" max="13084" width="7.7109375" style="944" customWidth="1"/>
    <col min="13085" max="13085" width="7.0703125" style="944" customWidth="1"/>
    <col min="13086" max="13311" width="9.140625" style="944"/>
    <col min="13312" max="13312" width="4.42578125" style="944" customWidth="1"/>
    <col min="13313" max="13313" width="20.5703125" style="944" customWidth="1"/>
    <col min="13314" max="13314" width="12.42578125" style="944" customWidth="1"/>
    <col min="13315" max="13315" width="12.5703125" style="944" customWidth="1"/>
    <col min="13316" max="13316" width="3.92578125" style="944" customWidth="1"/>
    <col min="13317" max="13317" width="4.2109375" style="944" customWidth="1"/>
    <col min="13318" max="13318" width="4.0703125" style="944" customWidth="1"/>
    <col min="13319" max="13319" width="4" style="944" customWidth="1"/>
    <col min="13320" max="13320" width="16.42578125" style="944" customWidth="1"/>
    <col min="13321" max="13321" width="5.5703125" style="944" customWidth="1"/>
    <col min="13322" max="13322" width="8.7109375" style="944" customWidth="1"/>
    <col min="13323" max="13323" width="5.42578125" style="944" customWidth="1"/>
    <col min="13324" max="13324" width="4.42578125" style="944" customWidth="1"/>
    <col min="13325" max="13325" width="4.2109375" style="944" customWidth="1"/>
    <col min="13326" max="13326" width="3.0703125" style="944" customWidth="1"/>
    <col min="13327" max="13327" width="4.5703125" style="944" customWidth="1"/>
    <col min="13328" max="13328" width="4.42578125" style="944" customWidth="1"/>
    <col min="13329" max="13329" width="4" style="944" customWidth="1"/>
    <col min="13330" max="13330" width="3" style="944" customWidth="1"/>
    <col min="13331" max="13331" width="3.92578125" style="944" customWidth="1"/>
    <col min="13332" max="13332" width="4.42578125" style="944" customWidth="1"/>
    <col min="13333" max="13333" width="3.42578125" style="944" customWidth="1"/>
    <col min="13334" max="13334" width="4.92578125" style="944" customWidth="1"/>
    <col min="13335" max="13335" width="10.5703125" style="944" customWidth="1"/>
    <col min="13336" max="13336" width="7.0703125" style="944" customWidth="1"/>
    <col min="13337" max="13337" width="8.0703125" style="944" customWidth="1"/>
    <col min="13338" max="13338" width="7.5703125" style="944" customWidth="1"/>
    <col min="13339" max="13340" width="7.7109375" style="944" customWidth="1"/>
    <col min="13341" max="13341" width="7.0703125" style="944" customWidth="1"/>
    <col min="13342" max="13567" width="9.140625" style="944"/>
    <col min="13568" max="13568" width="4.42578125" style="944" customWidth="1"/>
    <col min="13569" max="13569" width="20.5703125" style="944" customWidth="1"/>
    <col min="13570" max="13570" width="12.42578125" style="944" customWidth="1"/>
    <col min="13571" max="13571" width="12.5703125" style="944" customWidth="1"/>
    <col min="13572" max="13572" width="3.92578125" style="944" customWidth="1"/>
    <col min="13573" max="13573" width="4.2109375" style="944" customWidth="1"/>
    <col min="13574" max="13574" width="4.0703125" style="944" customWidth="1"/>
    <col min="13575" max="13575" width="4" style="944" customWidth="1"/>
    <col min="13576" max="13576" width="16.42578125" style="944" customWidth="1"/>
    <col min="13577" max="13577" width="5.5703125" style="944" customWidth="1"/>
    <col min="13578" max="13578" width="8.7109375" style="944" customWidth="1"/>
    <col min="13579" max="13579" width="5.42578125" style="944" customWidth="1"/>
    <col min="13580" max="13580" width="4.42578125" style="944" customWidth="1"/>
    <col min="13581" max="13581" width="4.2109375" style="944" customWidth="1"/>
    <col min="13582" max="13582" width="3.0703125" style="944" customWidth="1"/>
    <col min="13583" max="13583" width="4.5703125" style="944" customWidth="1"/>
    <col min="13584" max="13584" width="4.42578125" style="944" customWidth="1"/>
    <col min="13585" max="13585" width="4" style="944" customWidth="1"/>
    <col min="13586" max="13586" width="3" style="944" customWidth="1"/>
    <col min="13587" max="13587" width="3.92578125" style="944" customWidth="1"/>
    <col min="13588" max="13588" width="4.42578125" style="944" customWidth="1"/>
    <col min="13589" max="13589" width="3.42578125" style="944" customWidth="1"/>
    <col min="13590" max="13590" width="4.92578125" style="944" customWidth="1"/>
    <col min="13591" max="13591" width="10.5703125" style="944" customWidth="1"/>
    <col min="13592" max="13592" width="7.0703125" style="944" customWidth="1"/>
    <col min="13593" max="13593" width="8.0703125" style="944" customWidth="1"/>
    <col min="13594" max="13594" width="7.5703125" style="944" customWidth="1"/>
    <col min="13595" max="13596" width="7.7109375" style="944" customWidth="1"/>
    <col min="13597" max="13597" width="7.0703125" style="944" customWidth="1"/>
    <col min="13598" max="13823" width="9.140625" style="944"/>
    <col min="13824" max="13824" width="4.42578125" style="944" customWidth="1"/>
    <col min="13825" max="13825" width="20.5703125" style="944" customWidth="1"/>
    <col min="13826" max="13826" width="12.42578125" style="944" customWidth="1"/>
    <col min="13827" max="13827" width="12.5703125" style="944" customWidth="1"/>
    <col min="13828" max="13828" width="3.92578125" style="944" customWidth="1"/>
    <col min="13829" max="13829" width="4.2109375" style="944" customWidth="1"/>
    <col min="13830" max="13830" width="4.0703125" style="944" customWidth="1"/>
    <col min="13831" max="13831" width="4" style="944" customWidth="1"/>
    <col min="13832" max="13832" width="16.42578125" style="944" customWidth="1"/>
    <col min="13833" max="13833" width="5.5703125" style="944" customWidth="1"/>
    <col min="13834" max="13834" width="8.7109375" style="944" customWidth="1"/>
    <col min="13835" max="13835" width="5.42578125" style="944" customWidth="1"/>
    <col min="13836" max="13836" width="4.42578125" style="944" customWidth="1"/>
    <col min="13837" max="13837" width="4.2109375" style="944" customWidth="1"/>
    <col min="13838" max="13838" width="3.0703125" style="944" customWidth="1"/>
    <col min="13839" max="13839" width="4.5703125" style="944" customWidth="1"/>
    <col min="13840" max="13840" width="4.42578125" style="944" customWidth="1"/>
    <col min="13841" max="13841" width="4" style="944" customWidth="1"/>
    <col min="13842" max="13842" width="3" style="944" customWidth="1"/>
    <col min="13843" max="13843" width="3.92578125" style="944" customWidth="1"/>
    <col min="13844" max="13844" width="4.42578125" style="944" customWidth="1"/>
    <col min="13845" max="13845" width="3.42578125" style="944" customWidth="1"/>
    <col min="13846" max="13846" width="4.92578125" style="944" customWidth="1"/>
    <col min="13847" max="13847" width="10.5703125" style="944" customWidth="1"/>
    <col min="13848" max="13848" width="7.0703125" style="944" customWidth="1"/>
    <col min="13849" max="13849" width="8.0703125" style="944" customWidth="1"/>
    <col min="13850" max="13850" width="7.5703125" style="944" customWidth="1"/>
    <col min="13851" max="13852" width="7.7109375" style="944" customWidth="1"/>
    <col min="13853" max="13853" width="7.0703125" style="944" customWidth="1"/>
    <col min="13854" max="14079" width="9.140625" style="944"/>
    <col min="14080" max="14080" width="4.42578125" style="944" customWidth="1"/>
    <col min="14081" max="14081" width="20.5703125" style="944" customWidth="1"/>
    <col min="14082" max="14082" width="12.42578125" style="944" customWidth="1"/>
    <col min="14083" max="14083" width="12.5703125" style="944" customWidth="1"/>
    <col min="14084" max="14084" width="3.92578125" style="944" customWidth="1"/>
    <col min="14085" max="14085" width="4.2109375" style="944" customWidth="1"/>
    <col min="14086" max="14086" width="4.0703125" style="944" customWidth="1"/>
    <col min="14087" max="14087" width="4" style="944" customWidth="1"/>
    <col min="14088" max="14088" width="16.42578125" style="944" customWidth="1"/>
    <col min="14089" max="14089" width="5.5703125" style="944" customWidth="1"/>
    <col min="14090" max="14090" width="8.7109375" style="944" customWidth="1"/>
    <col min="14091" max="14091" width="5.42578125" style="944" customWidth="1"/>
    <col min="14092" max="14092" width="4.42578125" style="944" customWidth="1"/>
    <col min="14093" max="14093" width="4.2109375" style="944" customWidth="1"/>
    <col min="14094" max="14094" width="3.0703125" style="944" customWidth="1"/>
    <col min="14095" max="14095" width="4.5703125" style="944" customWidth="1"/>
    <col min="14096" max="14096" width="4.42578125" style="944" customWidth="1"/>
    <col min="14097" max="14097" width="4" style="944" customWidth="1"/>
    <col min="14098" max="14098" width="3" style="944" customWidth="1"/>
    <col min="14099" max="14099" width="3.92578125" style="944" customWidth="1"/>
    <col min="14100" max="14100" width="4.42578125" style="944" customWidth="1"/>
    <col min="14101" max="14101" width="3.42578125" style="944" customWidth="1"/>
    <col min="14102" max="14102" width="4.92578125" style="944" customWidth="1"/>
    <col min="14103" max="14103" width="10.5703125" style="944" customWidth="1"/>
    <col min="14104" max="14104" width="7.0703125" style="944" customWidth="1"/>
    <col min="14105" max="14105" width="8.0703125" style="944" customWidth="1"/>
    <col min="14106" max="14106" width="7.5703125" style="944" customWidth="1"/>
    <col min="14107" max="14108" width="7.7109375" style="944" customWidth="1"/>
    <col min="14109" max="14109" width="7.0703125" style="944" customWidth="1"/>
    <col min="14110" max="14335" width="9.140625" style="944"/>
    <col min="14336" max="14336" width="4.42578125" style="944" customWidth="1"/>
    <col min="14337" max="14337" width="20.5703125" style="944" customWidth="1"/>
    <col min="14338" max="14338" width="12.42578125" style="944" customWidth="1"/>
    <col min="14339" max="14339" width="12.5703125" style="944" customWidth="1"/>
    <col min="14340" max="14340" width="3.92578125" style="944" customWidth="1"/>
    <col min="14341" max="14341" width="4.2109375" style="944" customWidth="1"/>
    <col min="14342" max="14342" width="4.0703125" style="944" customWidth="1"/>
    <col min="14343" max="14343" width="4" style="944" customWidth="1"/>
    <col min="14344" max="14344" width="16.42578125" style="944" customWidth="1"/>
    <col min="14345" max="14345" width="5.5703125" style="944" customWidth="1"/>
    <col min="14346" max="14346" width="8.7109375" style="944" customWidth="1"/>
    <col min="14347" max="14347" width="5.42578125" style="944" customWidth="1"/>
    <col min="14348" max="14348" width="4.42578125" style="944" customWidth="1"/>
    <col min="14349" max="14349" width="4.2109375" style="944" customWidth="1"/>
    <col min="14350" max="14350" width="3.0703125" style="944" customWidth="1"/>
    <col min="14351" max="14351" width="4.5703125" style="944" customWidth="1"/>
    <col min="14352" max="14352" width="4.42578125" style="944" customWidth="1"/>
    <col min="14353" max="14353" width="4" style="944" customWidth="1"/>
    <col min="14354" max="14354" width="3" style="944" customWidth="1"/>
    <col min="14355" max="14355" width="3.92578125" style="944" customWidth="1"/>
    <col min="14356" max="14356" width="4.42578125" style="944" customWidth="1"/>
    <col min="14357" max="14357" width="3.42578125" style="944" customWidth="1"/>
    <col min="14358" max="14358" width="4.92578125" style="944" customWidth="1"/>
    <col min="14359" max="14359" width="10.5703125" style="944" customWidth="1"/>
    <col min="14360" max="14360" width="7.0703125" style="944" customWidth="1"/>
    <col min="14361" max="14361" width="8.0703125" style="944" customWidth="1"/>
    <col min="14362" max="14362" width="7.5703125" style="944" customWidth="1"/>
    <col min="14363" max="14364" width="7.7109375" style="944" customWidth="1"/>
    <col min="14365" max="14365" width="7.0703125" style="944" customWidth="1"/>
    <col min="14366" max="14591" width="9.140625" style="944"/>
    <col min="14592" max="14592" width="4.42578125" style="944" customWidth="1"/>
    <col min="14593" max="14593" width="20.5703125" style="944" customWidth="1"/>
    <col min="14594" max="14594" width="12.42578125" style="944" customWidth="1"/>
    <col min="14595" max="14595" width="12.5703125" style="944" customWidth="1"/>
    <col min="14596" max="14596" width="3.92578125" style="944" customWidth="1"/>
    <col min="14597" max="14597" width="4.2109375" style="944" customWidth="1"/>
    <col min="14598" max="14598" width="4.0703125" style="944" customWidth="1"/>
    <col min="14599" max="14599" width="4" style="944" customWidth="1"/>
    <col min="14600" max="14600" width="16.42578125" style="944" customWidth="1"/>
    <col min="14601" max="14601" width="5.5703125" style="944" customWidth="1"/>
    <col min="14602" max="14602" width="8.7109375" style="944" customWidth="1"/>
    <col min="14603" max="14603" width="5.42578125" style="944" customWidth="1"/>
    <col min="14604" max="14604" width="4.42578125" style="944" customWidth="1"/>
    <col min="14605" max="14605" width="4.2109375" style="944" customWidth="1"/>
    <col min="14606" max="14606" width="3.0703125" style="944" customWidth="1"/>
    <col min="14607" max="14607" width="4.5703125" style="944" customWidth="1"/>
    <col min="14608" max="14608" width="4.42578125" style="944" customWidth="1"/>
    <col min="14609" max="14609" width="4" style="944" customWidth="1"/>
    <col min="14610" max="14610" width="3" style="944" customWidth="1"/>
    <col min="14611" max="14611" width="3.92578125" style="944" customWidth="1"/>
    <col min="14612" max="14612" width="4.42578125" style="944" customWidth="1"/>
    <col min="14613" max="14613" width="3.42578125" style="944" customWidth="1"/>
    <col min="14614" max="14614" width="4.92578125" style="944" customWidth="1"/>
    <col min="14615" max="14615" width="10.5703125" style="944" customWidth="1"/>
    <col min="14616" max="14616" width="7.0703125" style="944" customWidth="1"/>
    <col min="14617" max="14617" width="8.0703125" style="944" customWidth="1"/>
    <col min="14618" max="14618" width="7.5703125" style="944" customWidth="1"/>
    <col min="14619" max="14620" width="7.7109375" style="944" customWidth="1"/>
    <col min="14621" max="14621" width="7.0703125" style="944" customWidth="1"/>
    <col min="14622" max="14847" width="9.140625" style="944"/>
    <col min="14848" max="14848" width="4.42578125" style="944" customWidth="1"/>
    <col min="14849" max="14849" width="20.5703125" style="944" customWidth="1"/>
    <col min="14850" max="14850" width="12.42578125" style="944" customWidth="1"/>
    <col min="14851" max="14851" width="12.5703125" style="944" customWidth="1"/>
    <col min="14852" max="14852" width="3.92578125" style="944" customWidth="1"/>
    <col min="14853" max="14853" width="4.2109375" style="944" customWidth="1"/>
    <col min="14854" max="14854" width="4.0703125" style="944" customWidth="1"/>
    <col min="14855" max="14855" width="4" style="944" customWidth="1"/>
    <col min="14856" max="14856" width="16.42578125" style="944" customWidth="1"/>
    <col min="14857" max="14857" width="5.5703125" style="944" customWidth="1"/>
    <col min="14858" max="14858" width="8.7109375" style="944" customWidth="1"/>
    <col min="14859" max="14859" width="5.42578125" style="944" customWidth="1"/>
    <col min="14860" max="14860" width="4.42578125" style="944" customWidth="1"/>
    <col min="14861" max="14861" width="4.2109375" style="944" customWidth="1"/>
    <col min="14862" max="14862" width="3.0703125" style="944" customWidth="1"/>
    <col min="14863" max="14863" width="4.5703125" style="944" customWidth="1"/>
    <col min="14864" max="14864" width="4.42578125" style="944" customWidth="1"/>
    <col min="14865" max="14865" width="4" style="944" customWidth="1"/>
    <col min="14866" max="14866" width="3" style="944" customWidth="1"/>
    <col min="14867" max="14867" width="3.92578125" style="944" customWidth="1"/>
    <col min="14868" max="14868" width="4.42578125" style="944" customWidth="1"/>
    <col min="14869" max="14869" width="3.42578125" style="944" customWidth="1"/>
    <col min="14870" max="14870" width="4.92578125" style="944" customWidth="1"/>
    <col min="14871" max="14871" width="10.5703125" style="944" customWidth="1"/>
    <col min="14872" max="14872" width="7.0703125" style="944" customWidth="1"/>
    <col min="14873" max="14873" width="8.0703125" style="944" customWidth="1"/>
    <col min="14874" max="14874" width="7.5703125" style="944" customWidth="1"/>
    <col min="14875" max="14876" width="7.7109375" style="944" customWidth="1"/>
    <col min="14877" max="14877" width="7.0703125" style="944" customWidth="1"/>
    <col min="14878" max="15103" width="9.140625" style="944"/>
    <col min="15104" max="15104" width="4.42578125" style="944" customWidth="1"/>
    <col min="15105" max="15105" width="20.5703125" style="944" customWidth="1"/>
    <col min="15106" max="15106" width="12.42578125" style="944" customWidth="1"/>
    <col min="15107" max="15107" width="12.5703125" style="944" customWidth="1"/>
    <col min="15108" max="15108" width="3.92578125" style="944" customWidth="1"/>
    <col min="15109" max="15109" width="4.2109375" style="944" customWidth="1"/>
    <col min="15110" max="15110" width="4.0703125" style="944" customWidth="1"/>
    <col min="15111" max="15111" width="4" style="944" customWidth="1"/>
    <col min="15112" max="15112" width="16.42578125" style="944" customWidth="1"/>
    <col min="15113" max="15113" width="5.5703125" style="944" customWidth="1"/>
    <col min="15114" max="15114" width="8.7109375" style="944" customWidth="1"/>
    <col min="15115" max="15115" width="5.42578125" style="944" customWidth="1"/>
    <col min="15116" max="15116" width="4.42578125" style="944" customWidth="1"/>
    <col min="15117" max="15117" width="4.2109375" style="944" customWidth="1"/>
    <col min="15118" max="15118" width="3.0703125" style="944" customWidth="1"/>
    <col min="15119" max="15119" width="4.5703125" style="944" customWidth="1"/>
    <col min="15120" max="15120" width="4.42578125" style="944" customWidth="1"/>
    <col min="15121" max="15121" width="4" style="944" customWidth="1"/>
    <col min="15122" max="15122" width="3" style="944" customWidth="1"/>
    <col min="15123" max="15123" width="3.92578125" style="944" customWidth="1"/>
    <col min="15124" max="15124" width="4.42578125" style="944" customWidth="1"/>
    <col min="15125" max="15125" width="3.42578125" style="944" customWidth="1"/>
    <col min="15126" max="15126" width="4.92578125" style="944" customWidth="1"/>
    <col min="15127" max="15127" width="10.5703125" style="944" customWidth="1"/>
    <col min="15128" max="15128" width="7.0703125" style="944" customWidth="1"/>
    <col min="15129" max="15129" width="8.0703125" style="944" customWidth="1"/>
    <col min="15130" max="15130" width="7.5703125" style="944" customWidth="1"/>
    <col min="15131" max="15132" width="7.7109375" style="944" customWidth="1"/>
    <col min="15133" max="15133" width="7.0703125" style="944" customWidth="1"/>
    <col min="15134" max="15359" width="9.140625" style="944"/>
    <col min="15360" max="15360" width="4.42578125" style="944" customWidth="1"/>
    <col min="15361" max="15361" width="20.5703125" style="944" customWidth="1"/>
    <col min="15362" max="15362" width="12.42578125" style="944" customWidth="1"/>
    <col min="15363" max="15363" width="12.5703125" style="944" customWidth="1"/>
    <col min="15364" max="15364" width="3.92578125" style="944" customWidth="1"/>
    <col min="15365" max="15365" width="4.2109375" style="944" customWidth="1"/>
    <col min="15366" max="15366" width="4.0703125" style="944" customWidth="1"/>
    <col min="15367" max="15367" width="4" style="944" customWidth="1"/>
    <col min="15368" max="15368" width="16.42578125" style="944" customWidth="1"/>
    <col min="15369" max="15369" width="5.5703125" style="944" customWidth="1"/>
    <col min="15370" max="15370" width="8.7109375" style="944" customWidth="1"/>
    <col min="15371" max="15371" width="5.42578125" style="944" customWidth="1"/>
    <col min="15372" max="15372" width="4.42578125" style="944" customWidth="1"/>
    <col min="15373" max="15373" width="4.2109375" style="944" customWidth="1"/>
    <col min="15374" max="15374" width="3.0703125" style="944" customWidth="1"/>
    <col min="15375" max="15375" width="4.5703125" style="944" customWidth="1"/>
    <col min="15376" max="15376" width="4.42578125" style="944" customWidth="1"/>
    <col min="15377" max="15377" width="4" style="944" customWidth="1"/>
    <col min="15378" max="15378" width="3" style="944" customWidth="1"/>
    <col min="15379" max="15379" width="3.92578125" style="944" customWidth="1"/>
    <col min="15380" max="15380" width="4.42578125" style="944" customWidth="1"/>
    <col min="15381" max="15381" width="3.42578125" style="944" customWidth="1"/>
    <col min="15382" max="15382" width="4.92578125" style="944" customWidth="1"/>
    <col min="15383" max="15383" width="10.5703125" style="944" customWidth="1"/>
    <col min="15384" max="15384" width="7.0703125" style="944" customWidth="1"/>
    <col min="15385" max="15385" width="8.0703125" style="944" customWidth="1"/>
    <col min="15386" max="15386" width="7.5703125" style="944" customWidth="1"/>
    <col min="15387" max="15388" width="7.7109375" style="944" customWidth="1"/>
    <col min="15389" max="15389" width="7.0703125" style="944" customWidth="1"/>
    <col min="15390" max="15615" width="9.140625" style="944"/>
    <col min="15616" max="15616" width="4.42578125" style="944" customWidth="1"/>
    <col min="15617" max="15617" width="20.5703125" style="944" customWidth="1"/>
    <col min="15618" max="15618" width="12.42578125" style="944" customWidth="1"/>
    <col min="15619" max="15619" width="12.5703125" style="944" customWidth="1"/>
    <col min="15620" max="15620" width="3.92578125" style="944" customWidth="1"/>
    <col min="15621" max="15621" width="4.2109375" style="944" customWidth="1"/>
    <col min="15622" max="15622" width="4.0703125" style="944" customWidth="1"/>
    <col min="15623" max="15623" width="4" style="944" customWidth="1"/>
    <col min="15624" max="15624" width="16.42578125" style="944" customWidth="1"/>
    <col min="15625" max="15625" width="5.5703125" style="944" customWidth="1"/>
    <col min="15626" max="15626" width="8.7109375" style="944" customWidth="1"/>
    <col min="15627" max="15627" width="5.42578125" style="944" customWidth="1"/>
    <col min="15628" max="15628" width="4.42578125" style="944" customWidth="1"/>
    <col min="15629" max="15629" width="4.2109375" style="944" customWidth="1"/>
    <col min="15630" max="15630" width="3.0703125" style="944" customWidth="1"/>
    <col min="15631" max="15631" width="4.5703125" style="944" customWidth="1"/>
    <col min="15632" max="15632" width="4.42578125" style="944" customWidth="1"/>
    <col min="15633" max="15633" width="4" style="944" customWidth="1"/>
    <col min="15634" max="15634" width="3" style="944" customWidth="1"/>
    <col min="15635" max="15635" width="3.92578125" style="944" customWidth="1"/>
    <col min="15636" max="15636" width="4.42578125" style="944" customWidth="1"/>
    <col min="15637" max="15637" width="3.42578125" style="944" customWidth="1"/>
    <col min="15638" max="15638" width="4.92578125" style="944" customWidth="1"/>
    <col min="15639" max="15639" width="10.5703125" style="944" customWidth="1"/>
    <col min="15640" max="15640" width="7.0703125" style="944" customWidth="1"/>
    <col min="15641" max="15641" width="8.0703125" style="944" customWidth="1"/>
    <col min="15642" max="15642" width="7.5703125" style="944" customWidth="1"/>
    <col min="15643" max="15644" width="7.7109375" style="944" customWidth="1"/>
    <col min="15645" max="15645" width="7.0703125" style="944" customWidth="1"/>
    <col min="15646" max="15871" width="9.140625" style="944"/>
    <col min="15872" max="15872" width="4.42578125" style="944" customWidth="1"/>
    <col min="15873" max="15873" width="20.5703125" style="944" customWidth="1"/>
    <col min="15874" max="15874" width="12.42578125" style="944" customWidth="1"/>
    <col min="15875" max="15875" width="12.5703125" style="944" customWidth="1"/>
    <col min="15876" max="15876" width="3.92578125" style="944" customWidth="1"/>
    <col min="15877" max="15877" width="4.2109375" style="944" customWidth="1"/>
    <col min="15878" max="15878" width="4.0703125" style="944" customWidth="1"/>
    <col min="15879" max="15879" width="4" style="944" customWidth="1"/>
    <col min="15880" max="15880" width="16.42578125" style="944" customWidth="1"/>
    <col min="15881" max="15881" width="5.5703125" style="944" customWidth="1"/>
    <col min="15882" max="15882" width="8.7109375" style="944" customWidth="1"/>
    <col min="15883" max="15883" width="5.42578125" style="944" customWidth="1"/>
    <col min="15884" max="15884" width="4.42578125" style="944" customWidth="1"/>
    <col min="15885" max="15885" width="4.2109375" style="944" customWidth="1"/>
    <col min="15886" max="15886" width="3.0703125" style="944" customWidth="1"/>
    <col min="15887" max="15887" width="4.5703125" style="944" customWidth="1"/>
    <col min="15888" max="15888" width="4.42578125" style="944" customWidth="1"/>
    <col min="15889" max="15889" width="4" style="944" customWidth="1"/>
    <col min="15890" max="15890" width="3" style="944" customWidth="1"/>
    <col min="15891" max="15891" width="3.92578125" style="944" customWidth="1"/>
    <col min="15892" max="15892" width="4.42578125" style="944" customWidth="1"/>
    <col min="15893" max="15893" width="3.42578125" style="944" customWidth="1"/>
    <col min="15894" max="15894" width="4.92578125" style="944" customWidth="1"/>
    <col min="15895" max="15895" width="10.5703125" style="944" customWidth="1"/>
    <col min="15896" max="15896" width="7.0703125" style="944" customWidth="1"/>
    <col min="15897" max="15897" width="8.0703125" style="944" customWidth="1"/>
    <col min="15898" max="15898" width="7.5703125" style="944" customWidth="1"/>
    <col min="15899" max="15900" width="7.7109375" style="944" customWidth="1"/>
    <col min="15901" max="15901" width="7.0703125" style="944" customWidth="1"/>
    <col min="15902" max="16127" width="9.140625" style="944"/>
    <col min="16128" max="16128" width="4.42578125" style="944" customWidth="1"/>
    <col min="16129" max="16129" width="20.5703125" style="944" customWidth="1"/>
    <col min="16130" max="16130" width="12.42578125" style="944" customWidth="1"/>
    <col min="16131" max="16131" width="12.5703125" style="944" customWidth="1"/>
    <col min="16132" max="16132" width="3.92578125" style="944" customWidth="1"/>
    <col min="16133" max="16133" width="4.2109375" style="944" customWidth="1"/>
    <col min="16134" max="16134" width="4.0703125" style="944" customWidth="1"/>
    <col min="16135" max="16135" width="4" style="944" customWidth="1"/>
    <col min="16136" max="16136" width="16.42578125" style="944" customWidth="1"/>
    <col min="16137" max="16137" width="5.5703125" style="944" customWidth="1"/>
    <col min="16138" max="16138" width="8.7109375" style="944" customWidth="1"/>
    <col min="16139" max="16139" width="5.42578125" style="944" customWidth="1"/>
    <col min="16140" max="16140" width="4.42578125" style="944" customWidth="1"/>
    <col min="16141" max="16141" width="4.2109375" style="944" customWidth="1"/>
    <col min="16142" max="16142" width="3.0703125" style="944" customWidth="1"/>
    <col min="16143" max="16143" width="4.5703125" style="944" customWidth="1"/>
    <col min="16144" max="16144" width="4.42578125" style="944" customWidth="1"/>
    <col min="16145" max="16145" width="4" style="944" customWidth="1"/>
    <col min="16146" max="16146" width="3" style="944" customWidth="1"/>
    <col min="16147" max="16147" width="3.92578125" style="944" customWidth="1"/>
    <col min="16148" max="16148" width="4.42578125" style="944" customWidth="1"/>
    <col min="16149" max="16149" width="3.42578125" style="944" customWidth="1"/>
    <col min="16150" max="16150" width="4.92578125" style="944" customWidth="1"/>
    <col min="16151" max="16151" width="10.5703125" style="944" customWidth="1"/>
    <col min="16152" max="16152" width="7.0703125" style="944" customWidth="1"/>
    <col min="16153" max="16153" width="8.0703125" style="944" customWidth="1"/>
    <col min="16154" max="16154" width="7.5703125" style="944" customWidth="1"/>
    <col min="16155" max="16156" width="7.7109375" style="944" customWidth="1"/>
    <col min="16157" max="16157" width="7.0703125" style="944" customWidth="1"/>
    <col min="16158" max="16384" width="9.140625" style="944"/>
  </cols>
  <sheetData>
    <row r="1" spans="1:31" s="942" customFormat="1">
      <c r="A1" s="3604"/>
      <c r="B1" s="3604"/>
      <c r="C1" s="3604"/>
      <c r="D1" s="3604"/>
      <c r="E1" s="3604"/>
      <c r="F1" s="3604"/>
      <c r="G1" s="3604"/>
      <c r="H1" s="3604"/>
      <c r="I1" s="3604"/>
      <c r="J1" s="3604"/>
      <c r="K1" s="3604"/>
      <c r="L1" s="3604"/>
      <c r="M1" s="3604"/>
      <c r="N1" s="3604"/>
      <c r="O1" s="3604"/>
      <c r="P1" s="3604"/>
      <c r="Q1" s="3604"/>
      <c r="R1" s="3604"/>
      <c r="S1" s="3604"/>
      <c r="T1" s="3604"/>
      <c r="U1" s="3604"/>
      <c r="V1" s="3604"/>
      <c r="W1" s="3604"/>
      <c r="X1" s="3604"/>
      <c r="Y1" s="3604"/>
      <c r="Z1" s="3604"/>
      <c r="AA1" s="3604"/>
      <c r="AB1" s="3604"/>
    </row>
    <row r="2" spans="1:31" s="942" customFormat="1" ht="20.25" customHeight="1">
      <c r="A2" s="943"/>
      <c r="B2" s="943"/>
      <c r="C2" s="943"/>
      <c r="D2" s="943"/>
      <c r="E2" s="942" t="s">
        <v>1</v>
      </c>
      <c r="G2" s="3605" t="s">
        <v>1725</v>
      </c>
      <c r="H2" s="3605"/>
      <c r="I2" s="3605"/>
      <c r="J2" s="3605"/>
      <c r="K2" s="3605"/>
      <c r="L2" s="3605"/>
      <c r="N2" s="943"/>
      <c r="Q2" s="943"/>
      <c r="AA2" s="944"/>
    </row>
    <row r="3" spans="1:31" s="942" customFormat="1" ht="19.5" customHeight="1">
      <c r="A3" s="946"/>
      <c r="B3" s="946"/>
      <c r="C3" s="946"/>
      <c r="D3" s="946"/>
      <c r="E3" s="945"/>
      <c r="F3" s="945"/>
      <c r="G3" s="945"/>
      <c r="H3" s="945"/>
      <c r="I3" s="945"/>
      <c r="J3" s="945"/>
      <c r="K3" s="945"/>
      <c r="L3" s="947"/>
      <c r="M3" s="945"/>
      <c r="N3" s="946"/>
      <c r="O3" s="945"/>
      <c r="P3" s="945"/>
      <c r="Q3" s="946"/>
      <c r="R3" s="945"/>
      <c r="S3" s="945"/>
      <c r="T3" s="945"/>
      <c r="U3" s="945"/>
      <c r="V3" s="945"/>
      <c r="AA3" s="944"/>
    </row>
    <row r="4" spans="1:31" s="942" customFormat="1" ht="19.5" customHeight="1">
      <c r="A4" s="946"/>
      <c r="B4" s="946"/>
      <c r="C4" s="946"/>
      <c r="D4" s="946"/>
      <c r="E4" s="945"/>
      <c r="F4" s="945"/>
      <c r="G4" s="945"/>
      <c r="H4" s="945"/>
      <c r="I4" s="945"/>
      <c r="J4" s="945"/>
      <c r="K4" s="945"/>
      <c r="L4" s="948"/>
      <c r="N4" s="943"/>
      <c r="Q4" s="943"/>
      <c r="R4" s="945"/>
      <c r="S4" s="945"/>
      <c r="T4" s="945"/>
      <c r="U4" s="945"/>
      <c r="V4" s="945"/>
      <c r="AA4" s="944"/>
    </row>
    <row r="5" spans="1:31" s="942" customFormat="1" ht="19.5" customHeight="1">
      <c r="A5" s="943"/>
      <c r="B5" s="943"/>
      <c r="C5" s="943"/>
      <c r="D5" s="943"/>
      <c r="E5" s="945"/>
      <c r="F5" s="945"/>
      <c r="G5" s="945"/>
      <c r="H5" s="945"/>
      <c r="I5" s="945"/>
      <c r="J5" s="945"/>
      <c r="K5" s="945"/>
      <c r="L5" s="948"/>
      <c r="M5" s="438" t="s">
        <v>37</v>
      </c>
      <c r="N5" s="431" t="s">
        <v>11</v>
      </c>
      <c r="O5" s="433" t="s">
        <v>22</v>
      </c>
      <c r="P5" s="433" t="s">
        <v>23</v>
      </c>
      <c r="Q5" s="433" t="s">
        <v>24</v>
      </c>
      <c r="R5" s="433" t="s">
        <v>25</v>
      </c>
      <c r="S5" s="433" t="s">
        <v>26</v>
      </c>
      <c r="T5" s="433" t="s">
        <v>27</v>
      </c>
      <c r="U5" s="433" t="s">
        <v>28</v>
      </c>
      <c r="V5" s="433" t="s">
        <v>29</v>
      </c>
      <c r="W5" s="433" t="s">
        <v>30</v>
      </c>
      <c r="X5" s="433" t="s">
        <v>31</v>
      </c>
      <c r="Y5" s="433" t="s">
        <v>32</v>
      </c>
      <c r="Z5" s="433" t="s">
        <v>33</v>
      </c>
      <c r="AA5" s="2053" t="s">
        <v>2287</v>
      </c>
      <c r="AB5" s="2053" t="s">
        <v>2288</v>
      </c>
      <c r="AC5" s="2053" t="s">
        <v>2289</v>
      </c>
      <c r="AD5" s="2053" t="s">
        <v>2290</v>
      </c>
      <c r="AE5" s="2053" t="s">
        <v>2291</v>
      </c>
    </row>
    <row r="6" spans="1:31" s="942" customFormat="1" ht="22.85" customHeight="1">
      <c r="A6" s="946"/>
      <c r="B6" s="946"/>
      <c r="C6" s="946"/>
      <c r="D6" s="946"/>
      <c r="E6" s="945"/>
      <c r="F6" s="945"/>
      <c r="G6" s="945" t="s">
        <v>5</v>
      </c>
      <c r="H6" s="945"/>
      <c r="I6" s="945"/>
      <c r="J6" s="945"/>
      <c r="K6" s="945"/>
      <c r="L6" s="948"/>
      <c r="M6" s="2873">
        <v>14</v>
      </c>
      <c r="N6" s="432">
        <f>SUM(N8:N101)</f>
        <v>442538</v>
      </c>
      <c r="O6" s="432">
        <f>O11+O20+O28+O33+O36+O41+O43+O58+O64+O67+O75+O81+O85+O88</f>
        <v>4464</v>
      </c>
      <c r="P6" s="432">
        <f t="shared" ref="P6:Z6" si="0">P11+P20+P28+P33+P36+P41+P43+P58+P64+P67+P75+P81+P85+P88</f>
        <v>4464</v>
      </c>
      <c r="Q6" s="432">
        <f t="shared" si="0"/>
        <v>63714</v>
      </c>
      <c r="R6" s="432">
        <f t="shared" si="0"/>
        <v>31264</v>
      </c>
      <c r="S6" s="432">
        <f t="shared" si="0"/>
        <v>46159</v>
      </c>
      <c r="T6" s="432">
        <f t="shared" si="0"/>
        <v>196941</v>
      </c>
      <c r="U6" s="432">
        <f t="shared" si="0"/>
        <v>4464</v>
      </c>
      <c r="V6" s="432">
        <f t="shared" si="0"/>
        <v>27384</v>
      </c>
      <c r="W6" s="432">
        <f t="shared" si="0"/>
        <v>40914</v>
      </c>
      <c r="X6" s="432">
        <f t="shared" si="0"/>
        <v>5364</v>
      </c>
      <c r="Y6" s="432">
        <f t="shared" si="0"/>
        <v>16906</v>
      </c>
      <c r="Z6" s="432">
        <f t="shared" si="0"/>
        <v>500</v>
      </c>
      <c r="AA6" s="2058"/>
      <c r="AB6" s="2058">
        <f>N6</f>
        <v>442538</v>
      </c>
      <c r="AC6" s="2059"/>
      <c r="AD6" s="2058"/>
      <c r="AE6" s="2058"/>
    </row>
    <row r="7" spans="1:31" s="942" customFormat="1" ht="31.2" customHeight="1">
      <c r="A7" s="1125" t="s">
        <v>1726</v>
      </c>
      <c r="B7" s="1125"/>
      <c r="C7" s="1125"/>
      <c r="D7" s="1125"/>
      <c r="E7" s="1125"/>
      <c r="F7" s="1125"/>
      <c r="G7" s="1125"/>
      <c r="H7" s="1125"/>
      <c r="I7" s="1125"/>
      <c r="J7" s="1125"/>
      <c r="K7" s="1125"/>
      <c r="L7" s="1125"/>
      <c r="M7" s="436"/>
      <c r="N7" s="434"/>
      <c r="O7" s="435"/>
      <c r="P7" s="435"/>
      <c r="Q7" s="435">
        <f>O6+P6+Q6</f>
        <v>72642</v>
      </c>
      <c r="R7" s="435"/>
      <c r="S7" s="435"/>
      <c r="T7" s="435">
        <f>R6+S6+T6</f>
        <v>274364</v>
      </c>
      <c r="U7" s="435"/>
      <c r="V7" s="435"/>
      <c r="W7" s="435">
        <f>U6+V6+W6</f>
        <v>72762</v>
      </c>
      <c r="X7" s="435"/>
      <c r="Y7" s="435"/>
      <c r="Z7" s="435">
        <f>X6+Y6+Z6</f>
        <v>22770</v>
      </c>
      <c r="AA7" s="1125"/>
      <c r="AB7" s="1125"/>
    </row>
    <row r="8" spans="1:31" s="942" customFormat="1" ht="34.200000000000003" customHeight="1">
      <c r="A8" s="3606" t="s">
        <v>1727</v>
      </c>
      <c r="B8" s="3607"/>
      <c r="C8" s="3608"/>
      <c r="D8" s="3612" t="s">
        <v>6</v>
      </c>
      <c r="E8" s="3294" t="s">
        <v>7</v>
      </c>
      <c r="F8" s="3294" t="s">
        <v>8</v>
      </c>
      <c r="G8" s="3294"/>
      <c r="H8" s="3615" t="s">
        <v>10</v>
      </c>
      <c r="I8" s="3616"/>
      <c r="J8" s="3616"/>
      <c r="K8" s="3617"/>
      <c r="L8" s="3615" t="s">
        <v>11</v>
      </c>
      <c r="M8" s="3617"/>
      <c r="N8" s="3621" t="s">
        <v>12</v>
      </c>
      <c r="O8" s="3622" t="s">
        <v>13</v>
      </c>
      <c r="P8" s="3273"/>
      <c r="Q8" s="3273"/>
      <c r="R8" s="3273"/>
      <c r="S8" s="3273"/>
      <c r="T8" s="3273"/>
      <c r="U8" s="3273"/>
      <c r="V8" s="3273"/>
      <c r="W8" s="3273"/>
      <c r="X8" s="3273"/>
      <c r="Y8" s="3273"/>
      <c r="Z8" s="3273"/>
      <c r="AA8" s="3294" t="s">
        <v>14</v>
      </c>
      <c r="AB8" s="3274" t="s">
        <v>15</v>
      </c>
    </row>
    <row r="9" spans="1:31" s="942" customFormat="1" ht="29.4" customHeight="1">
      <c r="A9" s="3609"/>
      <c r="B9" s="3610"/>
      <c r="C9" s="3611"/>
      <c r="D9" s="3613"/>
      <c r="E9" s="3300"/>
      <c r="F9" s="3300"/>
      <c r="G9" s="3300"/>
      <c r="H9" s="3618"/>
      <c r="I9" s="3619"/>
      <c r="J9" s="3619"/>
      <c r="K9" s="3620"/>
      <c r="L9" s="3618"/>
      <c r="M9" s="3620"/>
      <c r="N9" s="3621"/>
      <c r="O9" s="3622" t="s">
        <v>16</v>
      </c>
      <c r="P9" s="3273"/>
      <c r="Q9" s="3273"/>
      <c r="R9" s="3273" t="s">
        <v>17</v>
      </c>
      <c r="S9" s="3273"/>
      <c r="T9" s="3273"/>
      <c r="U9" s="3273" t="s">
        <v>18</v>
      </c>
      <c r="V9" s="3273"/>
      <c r="W9" s="3273"/>
      <c r="X9" s="3273" t="s">
        <v>19</v>
      </c>
      <c r="Y9" s="3273"/>
      <c r="Z9" s="3273"/>
      <c r="AA9" s="3300"/>
      <c r="AB9" s="3274"/>
    </row>
    <row r="10" spans="1:31" s="942" customFormat="1" ht="31.85" customHeight="1">
      <c r="A10" s="949" t="s">
        <v>1728</v>
      </c>
      <c r="B10" s="949" t="s">
        <v>35</v>
      </c>
      <c r="C10" s="949" t="s">
        <v>37</v>
      </c>
      <c r="D10" s="3614"/>
      <c r="E10" s="3295"/>
      <c r="F10" s="3295"/>
      <c r="G10" s="3295"/>
      <c r="H10" s="950">
        <v>1</v>
      </c>
      <c r="I10" s="950">
        <v>2</v>
      </c>
      <c r="J10" s="950">
        <v>3</v>
      </c>
      <c r="K10" s="950">
        <v>4</v>
      </c>
      <c r="L10" s="950" t="s">
        <v>20</v>
      </c>
      <c r="M10" s="951" t="s">
        <v>21</v>
      </c>
      <c r="N10" s="3621"/>
      <c r="O10" s="952" t="s">
        <v>22</v>
      </c>
      <c r="P10" s="953" t="s">
        <v>23</v>
      </c>
      <c r="Q10" s="953" t="s">
        <v>24</v>
      </c>
      <c r="R10" s="953" t="s">
        <v>25</v>
      </c>
      <c r="S10" s="953" t="s">
        <v>26</v>
      </c>
      <c r="T10" s="953" t="s">
        <v>27</v>
      </c>
      <c r="U10" s="953" t="s">
        <v>28</v>
      </c>
      <c r="V10" s="953" t="s">
        <v>29</v>
      </c>
      <c r="W10" s="953" t="s">
        <v>30</v>
      </c>
      <c r="X10" s="953" t="s">
        <v>31</v>
      </c>
      <c r="Y10" s="953" t="s">
        <v>32</v>
      </c>
      <c r="Z10" s="953" t="s">
        <v>33</v>
      </c>
      <c r="AA10" s="3295"/>
      <c r="AB10" s="3274"/>
    </row>
    <row r="11" spans="1:31" ht="38.6" customHeight="1">
      <c r="A11" s="1075">
        <v>1</v>
      </c>
      <c r="B11" s="1075">
        <v>3</v>
      </c>
      <c r="C11" s="1075">
        <v>5</v>
      </c>
      <c r="D11" s="1075">
        <v>1</v>
      </c>
      <c r="E11" s="1076" t="s">
        <v>1729</v>
      </c>
      <c r="F11" s="1077"/>
      <c r="G11" s="1078"/>
      <c r="H11" s="1078"/>
      <c r="I11" s="1078"/>
      <c r="J11" s="1078"/>
      <c r="K11" s="1078"/>
      <c r="L11" s="1078"/>
      <c r="M11" s="1079"/>
      <c r="N11" s="1080">
        <f>SUM(M13:M19)</f>
        <v>16750</v>
      </c>
      <c r="O11" s="1081">
        <f>SUM(O12:O19)</f>
        <v>0</v>
      </c>
      <c r="P11" s="1081">
        <f t="shared" ref="P11:Z11" si="1">SUM(P12:P19)</f>
        <v>0</v>
      </c>
      <c r="Q11" s="1081">
        <f t="shared" si="1"/>
        <v>2000</v>
      </c>
      <c r="R11" s="1081">
        <f t="shared" si="1"/>
        <v>0</v>
      </c>
      <c r="S11" s="1081">
        <f t="shared" si="1"/>
        <v>11175</v>
      </c>
      <c r="T11" s="1081">
        <f t="shared" si="1"/>
        <v>3575</v>
      </c>
      <c r="U11" s="1081">
        <f t="shared" si="1"/>
        <v>0</v>
      </c>
      <c r="V11" s="1081">
        <f t="shared" si="1"/>
        <v>0</v>
      </c>
      <c r="W11" s="1081">
        <f t="shared" si="1"/>
        <v>0</v>
      </c>
      <c r="X11" s="1081">
        <f t="shared" si="1"/>
        <v>0</v>
      </c>
      <c r="Y11" s="1081">
        <f t="shared" si="1"/>
        <v>0</v>
      </c>
      <c r="Z11" s="1081">
        <f t="shared" si="1"/>
        <v>0</v>
      </c>
      <c r="AA11" s="1078" t="s">
        <v>1900</v>
      </c>
      <c r="AB11" s="1074" t="s">
        <v>1048</v>
      </c>
    </row>
    <row r="12" spans="1:31" ht="76.3" customHeight="1">
      <c r="B12" s="955"/>
      <c r="C12" s="955"/>
      <c r="D12" s="955"/>
      <c r="E12" s="956"/>
      <c r="F12" s="3631" t="s">
        <v>1899</v>
      </c>
      <c r="G12" s="3632"/>
      <c r="H12" s="956"/>
      <c r="I12" s="956"/>
      <c r="J12" s="956"/>
      <c r="K12" s="956"/>
      <c r="L12" s="956"/>
      <c r="M12" s="957"/>
      <c r="N12" s="958"/>
      <c r="O12" s="959"/>
      <c r="P12" s="957"/>
      <c r="Q12" s="960"/>
      <c r="R12" s="960"/>
      <c r="S12" s="960"/>
      <c r="T12" s="960"/>
      <c r="U12" s="960"/>
      <c r="V12" s="960"/>
      <c r="W12" s="960"/>
      <c r="X12" s="960"/>
      <c r="Y12" s="960"/>
      <c r="Z12" s="960"/>
      <c r="AA12" s="956" t="s">
        <v>1730</v>
      </c>
      <c r="AB12" s="954"/>
    </row>
    <row r="13" spans="1:31" ht="90.65" customHeight="1">
      <c r="B13" s="955"/>
      <c r="C13" s="955"/>
      <c r="D13" s="955"/>
      <c r="E13" s="962" t="s">
        <v>1731</v>
      </c>
      <c r="F13" s="962" t="s">
        <v>1732</v>
      </c>
      <c r="G13" s="963" t="s">
        <v>1733</v>
      </c>
      <c r="H13" s="963"/>
      <c r="I13" s="963" t="s">
        <v>1734</v>
      </c>
      <c r="J13" s="963"/>
      <c r="K13" s="963"/>
      <c r="L13" s="962" t="s">
        <v>1735</v>
      </c>
      <c r="M13" s="957">
        <v>800</v>
      </c>
      <c r="N13" s="964"/>
      <c r="O13" s="957"/>
      <c r="P13" s="957"/>
      <c r="Q13" s="957"/>
      <c r="R13" s="954"/>
      <c r="S13" s="957">
        <v>800</v>
      </c>
      <c r="T13" s="957"/>
      <c r="U13" s="957"/>
      <c r="V13" s="957"/>
      <c r="W13" s="963"/>
      <c r="X13" s="957"/>
      <c r="Y13" s="957"/>
      <c r="Z13" s="957"/>
      <c r="AA13" s="956"/>
      <c r="AB13" s="954"/>
    </row>
    <row r="14" spans="1:31" ht="57" customHeight="1">
      <c r="B14" s="955"/>
      <c r="C14" s="955"/>
      <c r="D14" s="955"/>
      <c r="E14" s="962"/>
      <c r="F14" s="962"/>
      <c r="G14" s="963"/>
      <c r="H14" s="963"/>
      <c r="I14" s="963"/>
      <c r="J14" s="963"/>
      <c r="K14" s="963"/>
      <c r="L14" s="962" t="s">
        <v>1736</v>
      </c>
      <c r="M14" s="957">
        <v>9500</v>
      </c>
      <c r="N14" s="964"/>
      <c r="O14" s="957"/>
      <c r="P14" s="957"/>
      <c r="Q14" s="957"/>
      <c r="R14" s="954"/>
      <c r="S14" s="957">
        <v>9500</v>
      </c>
      <c r="T14" s="957"/>
      <c r="U14" s="957"/>
      <c r="V14" s="957"/>
      <c r="W14" s="963"/>
      <c r="X14" s="957"/>
      <c r="Y14" s="957"/>
      <c r="Z14" s="957"/>
      <c r="AA14" s="956"/>
      <c r="AB14" s="954"/>
    </row>
    <row r="15" spans="1:31" ht="51.65" customHeight="1">
      <c r="B15" s="955"/>
      <c r="C15" s="955"/>
      <c r="D15" s="955"/>
      <c r="E15" s="962"/>
      <c r="F15" s="962"/>
      <c r="G15" s="962"/>
      <c r="H15" s="962"/>
      <c r="I15" s="963" t="s">
        <v>1734</v>
      </c>
      <c r="J15" s="963" t="s">
        <v>1734</v>
      </c>
      <c r="K15" s="963" t="s">
        <v>1734</v>
      </c>
      <c r="L15" s="962" t="s">
        <v>1737</v>
      </c>
      <c r="M15" s="957">
        <f>35*25*1</f>
        <v>875</v>
      </c>
      <c r="N15" s="964"/>
      <c r="O15" s="957"/>
      <c r="P15" s="957"/>
      <c r="Q15" s="957"/>
      <c r="R15" s="954"/>
      <c r="S15" s="957">
        <v>875</v>
      </c>
      <c r="T15" s="957"/>
      <c r="U15" s="957"/>
      <c r="V15" s="957"/>
      <c r="W15" s="963"/>
      <c r="X15" s="954"/>
      <c r="Y15" s="957"/>
      <c r="Z15" s="957"/>
      <c r="AA15" s="956"/>
      <c r="AB15" s="954"/>
    </row>
    <row r="16" spans="1:31" ht="112.85" customHeight="1">
      <c r="A16" s="955"/>
      <c r="B16" s="955"/>
      <c r="C16" s="955"/>
      <c r="D16" s="955"/>
      <c r="E16" s="963" t="s">
        <v>1738</v>
      </c>
      <c r="F16" s="963" t="s">
        <v>1739</v>
      </c>
      <c r="G16" s="963" t="s">
        <v>1740</v>
      </c>
      <c r="H16" s="963"/>
      <c r="I16" s="963" t="s">
        <v>1734</v>
      </c>
      <c r="J16" s="963"/>
      <c r="K16" s="963"/>
      <c r="L16" s="963" t="s">
        <v>1741</v>
      </c>
      <c r="M16" s="957">
        <f>25*70*1</f>
        <v>1750</v>
      </c>
      <c r="N16" s="964"/>
      <c r="O16" s="957"/>
      <c r="P16" s="957"/>
      <c r="Q16" s="957"/>
      <c r="R16" s="957"/>
      <c r="S16" s="965"/>
      <c r="T16" s="957">
        <v>1750</v>
      </c>
      <c r="U16" s="957"/>
      <c r="V16" s="957"/>
      <c r="W16" s="963"/>
      <c r="X16" s="954"/>
      <c r="Y16" s="957"/>
      <c r="Z16" s="957"/>
      <c r="AA16" s="956"/>
      <c r="AB16" s="954"/>
    </row>
    <row r="17" spans="1:28" ht="52.85" customHeight="1">
      <c r="A17" s="955"/>
      <c r="B17" s="955"/>
      <c r="C17" s="955"/>
      <c r="D17" s="955"/>
      <c r="E17" s="963"/>
      <c r="F17" s="963"/>
      <c r="G17" s="963"/>
      <c r="H17" s="963"/>
      <c r="I17" s="963" t="s">
        <v>1734</v>
      </c>
      <c r="J17" s="963"/>
      <c r="K17" s="963"/>
      <c r="L17" s="963" t="s">
        <v>1742</v>
      </c>
      <c r="M17" s="957">
        <v>625</v>
      </c>
      <c r="N17" s="964"/>
      <c r="O17" s="957"/>
      <c r="P17" s="957"/>
      <c r="Q17" s="957"/>
      <c r="R17" s="957"/>
      <c r="S17" s="954"/>
      <c r="T17" s="957">
        <v>625</v>
      </c>
      <c r="U17" s="957"/>
      <c r="V17" s="957"/>
      <c r="W17" s="963"/>
      <c r="X17" s="954"/>
      <c r="Y17" s="957"/>
      <c r="Z17" s="957"/>
      <c r="AA17" s="954"/>
      <c r="AB17" s="954"/>
    </row>
    <row r="18" spans="1:28" ht="49.2" customHeight="1">
      <c r="A18" s="955"/>
      <c r="B18" s="955"/>
      <c r="C18" s="955"/>
      <c r="D18" s="955"/>
      <c r="E18" s="963"/>
      <c r="F18" s="963"/>
      <c r="G18" s="963"/>
      <c r="H18" s="963"/>
      <c r="I18" s="963" t="s">
        <v>1734</v>
      </c>
      <c r="J18" s="963"/>
      <c r="K18" s="963"/>
      <c r="L18" s="963" t="s">
        <v>1743</v>
      </c>
      <c r="M18" s="957">
        <v>1200</v>
      </c>
      <c r="N18" s="964"/>
      <c r="O18" s="957"/>
      <c r="P18" s="957"/>
      <c r="Q18" s="957"/>
      <c r="R18" s="957"/>
      <c r="S18" s="954"/>
      <c r="T18" s="957">
        <v>1200</v>
      </c>
      <c r="U18" s="957"/>
      <c r="V18" s="957"/>
      <c r="W18" s="963"/>
      <c r="X18" s="954"/>
      <c r="Y18" s="957"/>
      <c r="Z18" s="957"/>
      <c r="AA18" s="954"/>
      <c r="AB18" s="954"/>
    </row>
    <row r="19" spans="1:28" ht="48">
      <c r="A19" s="955"/>
      <c r="B19" s="955"/>
      <c r="C19" s="955"/>
      <c r="D19" s="955"/>
      <c r="E19" s="963" t="s">
        <v>1744</v>
      </c>
      <c r="F19" s="963" t="s">
        <v>1745</v>
      </c>
      <c r="G19" s="963" t="s">
        <v>1746</v>
      </c>
      <c r="H19" s="963" t="s">
        <v>1734</v>
      </c>
      <c r="I19" s="966"/>
      <c r="J19" s="963"/>
      <c r="K19" s="963"/>
      <c r="L19" s="967" t="s">
        <v>1747</v>
      </c>
      <c r="M19" s="957">
        <f>200*10</f>
        <v>2000</v>
      </c>
      <c r="N19" s="964"/>
      <c r="O19" s="957"/>
      <c r="P19" s="957"/>
      <c r="Q19" s="957">
        <v>2000</v>
      </c>
      <c r="R19" s="954"/>
      <c r="S19" s="954"/>
      <c r="T19" s="957"/>
      <c r="U19" s="957"/>
      <c r="V19" s="957"/>
      <c r="W19" s="963"/>
      <c r="X19" s="954"/>
      <c r="Y19" s="957"/>
      <c r="Z19" s="957"/>
      <c r="AA19" s="954"/>
      <c r="AB19" s="954"/>
    </row>
    <row r="20" spans="1:28" ht="39" customHeight="1">
      <c r="A20" s="1075">
        <v>1</v>
      </c>
      <c r="B20" s="1075">
        <v>3</v>
      </c>
      <c r="C20" s="1075">
        <v>5</v>
      </c>
      <c r="D20" s="1075">
        <v>2</v>
      </c>
      <c r="E20" s="1082" t="s">
        <v>1748</v>
      </c>
      <c r="F20" s="1077"/>
      <c r="G20" s="1077"/>
      <c r="H20" s="1083"/>
      <c r="I20" s="1084"/>
      <c r="J20" s="1083"/>
      <c r="K20" s="1084"/>
      <c r="L20" s="1083"/>
      <c r="M20" s="1085"/>
      <c r="N20" s="1086">
        <v>17300</v>
      </c>
      <c r="O20" s="1079">
        <f>SUM(O21:O27)</f>
        <v>0</v>
      </c>
      <c r="P20" s="1079">
        <f t="shared" ref="P20:Z20" si="2">SUM(P21:P27)</f>
        <v>0</v>
      </c>
      <c r="Q20" s="1079">
        <f t="shared" si="2"/>
        <v>0</v>
      </c>
      <c r="R20" s="1079">
        <f t="shared" si="2"/>
        <v>0</v>
      </c>
      <c r="S20" s="1079">
        <f t="shared" si="2"/>
        <v>0</v>
      </c>
      <c r="T20" s="1079">
        <f t="shared" si="2"/>
        <v>17300</v>
      </c>
      <c r="U20" s="1079">
        <f t="shared" si="2"/>
        <v>0</v>
      </c>
      <c r="V20" s="1079">
        <f t="shared" si="2"/>
        <v>0</v>
      </c>
      <c r="W20" s="1079">
        <f t="shared" si="2"/>
        <v>0</v>
      </c>
      <c r="X20" s="1079">
        <f t="shared" si="2"/>
        <v>0</v>
      </c>
      <c r="Y20" s="1079">
        <f t="shared" si="2"/>
        <v>0</v>
      </c>
      <c r="Z20" s="1079">
        <f t="shared" si="2"/>
        <v>0</v>
      </c>
      <c r="AA20" s="1087" t="s">
        <v>1900</v>
      </c>
      <c r="AB20" s="1074" t="s">
        <v>1048</v>
      </c>
    </row>
    <row r="21" spans="1:28" ht="119.4" customHeight="1">
      <c r="A21" s="955"/>
      <c r="B21" s="955"/>
      <c r="C21" s="955"/>
      <c r="D21" s="955"/>
      <c r="E21" s="963"/>
      <c r="F21" s="963" t="s">
        <v>1749</v>
      </c>
      <c r="G21" s="963" t="s">
        <v>1750</v>
      </c>
      <c r="H21" s="963"/>
      <c r="I21" s="962"/>
      <c r="J21" s="963"/>
      <c r="K21" s="962"/>
      <c r="L21" s="963"/>
      <c r="M21" s="968"/>
      <c r="N21" s="964"/>
      <c r="O21" s="957"/>
      <c r="P21" s="957"/>
      <c r="Q21" s="957"/>
      <c r="R21" s="957"/>
      <c r="S21" s="957"/>
      <c r="T21" s="957"/>
      <c r="U21" s="957"/>
      <c r="V21" s="957"/>
      <c r="W21" s="957"/>
      <c r="X21" s="957"/>
      <c r="Y21" s="957"/>
      <c r="Z21" s="957"/>
      <c r="AA21" s="969"/>
      <c r="AB21" s="954"/>
    </row>
    <row r="22" spans="1:28" ht="69" customHeight="1">
      <c r="A22" s="955"/>
      <c r="B22" s="955"/>
      <c r="C22" s="955"/>
      <c r="D22" s="955"/>
      <c r="E22" s="963" t="s">
        <v>1751</v>
      </c>
      <c r="F22" s="963" t="s">
        <v>1752</v>
      </c>
      <c r="G22" s="963" t="s">
        <v>1753</v>
      </c>
      <c r="H22" s="963" t="s">
        <v>1734</v>
      </c>
      <c r="I22" s="962"/>
      <c r="J22" s="963"/>
      <c r="K22" s="962"/>
      <c r="L22" s="963" t="s">
        <v>1754</v>
      </c>
      <c r="M22" s="957">
        <f>40*70*1</f>
        <v>2800</v>
      </c>
      <c r="N22" s="970"/>
      <c r="O22" s="954"/>
      <c r="P22" s="954"/>
      <c r="Q22" s="954"/>
      <c r="R22" s="957"/>
      <c r="S22" s="957"/>
      <c r="T22" s="957">
        <v>2800</v>
      </c>
      <c r="U22" s="957"/>
      <c r="V22" s="957"/>
      <c r="W22" s="957"/>
      <c r="X22" s="957"/>
      <c r="Y22" s="957"/>
      <c r="Z22" s="957"/>
      <c r="AA22" s="969"/>
      <c r="AB22" s="954"/>
    </row>
    <row r="23" spans="1:28">
      <c r="A23" s="955"/>
      <c r="B23" s="955"/>
      <c r="C23" s="955"/>
      <c r="D23" s="955"/>
      <c r="E23" s="963"/>
      <c r="F23" s="963"/>
      <c r="G23" s="963"/>
      <c r="H23" s="963"/>
      <c r="I23" s="962"/>
      <c r="J23" s="963"/>
      <c r="K23" s="962"/>
      <c r="L23" s="963" t="s">
        <v>1755</v>
      </c>
      <c r="M23" s="957">
        <f>40*25*2</f>
        <v>2000</v>
      </c>
      <c r="N23" s="964"/>
      <c r="O23" s="957"/>
      <c r="P23" s="957"/>
      <c r="Q23" s="957"/>
      <c r="R23" s="957"/>
      <c r="S23" s="957"/>
      <c r="T23" s="957">
        <v>2000</v>
      </c>
      <c r="U23" s="957"/>
      <c r="V23" s="957"/>
      <c r="W23" s="957"/>
      <c r="X23" s="957"/>
      <c r="Y23" s="957"/>
      <c r="Z23" s="957"/>
      <c r="AA23" s="969"/>
      <c r="AB23" s="954"/>
    </row>
    <row r="24" spans="1:28">
      <c r="A24" s="955"/>
      <c r="B24" s="955"/>
      <c r="C24" s="955"/>
      <c r="D24" s="955"/>
      <c r="E24" s="963"/>
      <c r="F24" s="963"/>
      <c r="G24" s="963"/>
      <c r="H24" s="963"/>
      <c r="I24" s="962"/>
      <c r="J24" s="963"/>
      <c r="K24" s="962"/>
      <c r="L24" s="963" t="s">
        <v>1756</v>
      </c>
      <c r="M24" s="957">
        <f>600*5*1</f>
        <v>3000</v>
      </c>
      <c r="N24" s="964"/>
      <c r="O24" s="957"/>
      <c r="P24" s="957"/>
      <c r="Q24" s="957"/>
      <c r="R24" s="957"/>
      <c r="S24" s="957"/>
      <c r="T24" s="957">
        <v>3000</v>
      </c>
      <c r="U24" s="957"/>
      <c r="V24" s="957"/>
      <c r="W24" s="957"/>
      <c r="X24" s="957"/>
      <c r="Y24" s="957"/>
      <c r="Z24" s="957"/>
      <c r="AA24" s="956"/>
      <c r="AB24" s="954"/>
    </row>
    <row r="25" spans="1:28" ht="61.2" customHeight="1">
      <c r="A25" s="955"/>
      <c r="B25" s="955"/>
      <c r="C25" s="955"/>
      <c r="D25" s="955"/>
      <c r="E25" s="963" t="s">
        <v>1757</v>
      </c>
      <c r="F25" s="963" t="s">
        <v>1758</v>
      </c>
      <c r="G25" s="963" t="s">
        <v>1759</v>
      </c>
      <c r="H25" s="963"/>
      <c r="I25" s="963" t="s">
        <v>1734</v>
      </c>
      <c r="J25" s="963"/>
      <c r="K25" s="962"/>
      <c r="L25" s="963" t="s">
        <v>1760</v>
      </c>
      <c r="M25" s="957">
        <f>50*70*1</f>
        <v>3500</v>
      </c>
      <c r="N25" s="964"/>
      <c r="O25" s="954"/>
      <c r="P25" s="954"/>
      <c r="Q25" s="954"/>
      <c r="R25" s="954"/>
      <c r="S25" s="963"/>
      <c r="T25" s="968">
        <v>3500</v>
      </c>
      <c r="U25" s="963"/>
      <c r="V25" s="968"/>
      <c r="W25" s="968"/>
      <c r="X25" s="968"/>
      <c r="Y25" s="968"/>
      <c r="Z25" s="968"/>
      <c r="AA25" s="954"/>
      <c r="AB25" s="954"/>
    </row>
    <row r="26" spans="1:28">
      <c r="A26" s="955"/>
      <c r="B26" s="955"/>
      <c r="C26" s="955"/>
      <c r="D26" s="955"/>
      <c r="E26" s="963"/>
      <c r="F26" s="963"/>
      <c r="G26" s="963"/>
      <c r="H26" s="963"/>
      <c r="I26" s="963"/>
      <c r="J26" s="963"/>
      <c r="K26" s="962"/>
      <c r="L26" s="963" t="s">
        <v>1761</v>
      </c>
      <c r="M26" s="968">
        <f>600*2*1</f>
        <v>1200</v>
      </c>
      <c r="N26" s="964"/>
      <c r="O26" s="954"/>
      <c r="P26" s="954"/>
      <c r="Q26" s="954"/>
      <c r="R26" s="954"/>
      <c r="S26" s="963"/>
      <c r="T26" s="968">
        <v>1200</v>
      </c>
      <c r="U26" s="963"/>
      <c r="V26" s="968"/>
      <c r="W26" s="968"/>
      <c r="X26" s="968"/>
      <c r="Y26" s="968"/>
      <c r="Z26" s="968"/>
      <c r="AA26" s="954"/>
      <c r="AB26" s="954"/>
    </row>
    <row r="27" spans="1:28">
      <c r="A27" s="955"/>
      <c r="B27" s="955"/>
      <c r="C27" s="955"/>
      <c r="D27" s="955"/>
      <c r="E27" s="963"/>
      <c r="F27" s="963"/>
      <c r="G27" s="963"/>
      <c r="H27" s="963"/>
      <c r="I27" s="963"/>
      <c r="J27" s="963"/>
      <c r="K27" s="962"/>
      <c r="L27" s="963" t="s">
        <v>1762</v>
      </c>
      <c r="M27" s="968">
        <f>600*2*2*2</f>
        <v>4800</v>
      </c>
      <c r="N27" s="964"/>
      <c r="O27" s="954"/>
      <c r="P27" s="954"/>
      <c r="Q27" s="954"/>
      <c r="R27" s="954"/>
      <c r="S27" s="963"/>
      <c r="T27" s="968">
        <v>4800</v>
      </c>
      <c r="U27" s="963"/>
      <c r="V27" s="968"/>
      <c r="W27" s="968"/>
      <c r="X27" s="968"/>
      <c r="Y27" s="968"/>
      <c r="Z27" s="968"/>
      <c r="AA27" s="954"/>
      <c r="AB27" s="954"/>
    </row>
    <row r="28" spans="1:28" ht="52.75" customHeight="1">
      <c r="A28" s="1075">
        <v>1</v>
      </c>
      <c r="B28" s="1088">
        <v>4</v>
      </c>
      <c r="C28" s="1088"/>
      <c r="D28" s="1075">
        <v>3</v>
      </c>
      <c r="E28" s="1076" t="s">
        <v>1763</v>
      </c>
      <c r="F28" s="1077"/>
      <c r="G28" s="1077"/>
      <c r="H28" s="1089" t="s">
        <v>1734</v>
      </c>
      <c r="I28" s="1078"/>
      <c r="J28" s="1078"/>
      <c r="K28" s="1078"/>
      <c r="L28" s="1078"/>
      <c r="M28" s="1079"/>
      <c r="N28" s="1090">
        <v>11100</v>
      </c>
      <c r="O28" s="1091">
        <f>SUM(O29:O32)</f>
        <v>0</v>
      </c>
      <c r="P28" s="1091">
        <f t="shared" ref="P28:Z28" si="3">SUM(P29:P32)</f>
        <v>0</v>
      </c>
      <c r="Q28" s="1091">
        <f t="shared" si="3"/>
        <v>0</v>
      </c>
      <c r="R28" s="1091">
        <f t="shared" si="3"/>
        <v>11100</v>
      </c>
      <c r="S28" s="1091">
        <f t="shared" si="3"/>
        <v>0</v>
      </c>
      <c r="T28" s="1091">
        <f t="shared" si="3"/>
        <v>0</v>
      </c>
      <c r="U28" s="1091">
        <f t="shared" si="3"/>
        <v>0</v>
      </c>
      <c r="V28" s="1091">
        <f t="shared" si="3"/>
        <v>0</v>
      </c>
      <c r="W28" s="1091">
        <f t="shared" si="3"/>
        <v>0</v>
      </c>
      <c r="X28" s="1091">
        <f t="shared" si="3"/>
        <v>0</v>
      </c>
      <c r="Y28" s="1091">
        <f t="shared" si="3"/>
        <v>0</v>
      </c>
      <c r="Z28" s="1091">
        <f t="shared" si="3"/>
        <v>0</v>
      </c>
      <c r="AA28" s="1078" t="s">
        <v>1900</v>
      </c>
      <c r="AB28" s="1074" t="s">
        <v>1048</v>
      </c>
    </row>
    <row r="29" spans="1:28" ht="72">
      <c r="A29" s="974"/>
      <c r="B29" s="974"/>
      <c r="C29" s="974"/>
      <c r="D29" s="974"/>
      <c r="E29" s="956"/>
      <c r="F29" s="956" t="s">
        <v>1764</v>
      </c>
      <c r="G29" s="956" t="s">
        <v>1765</v>
      </c>
      <c r="H29" s="950"/>
      <c r="I29" s="956"/>
      <c r="J29" s="956"/>
      <c r="K29" s="956"/>
      <c r="L29" s="956" t="s">
        <v>1767</v>
      </c>
      <c r="M29" s="957">
        <v>4200</v>
      </c>
      <c r="N29" s="971"/>
      <c r="O29" s="972"/>
      <c r="P29" s="973"/>
      <c r="Q29" s="955"/>
      <c r="R29" s="957">
        <v>4200</v>
      </c>
      <c r="S29" s="957"/>
      <c r="T29" s="957"/>
      <c r="U29" s="957"/>
      <c r="V29" s="957"/>
      <c r="W29" s="957"/>
      <c r="X29" s="957"/>
      <c r="Y29" s="957"/>
      <c r="Z29" s="957"/>
      <c r="AA29" s="956" t="s">
        <v>1766</v>
      </c>
      <c r="AB29" s="954"/>
    </row>
    <row r="30" spans="1:28">
      <c r="A30" s="974"/>
      <c r="B30" s="974"/>
      <c r="C30" s="974"/>
      <c r="D30" s="974"/>
      <c r="E30" s="956"/>
      <c r="F30" s="956"/>
      <c r="G30" s="956"/>
      <c r="H30" s="950"/>
      <c r="I30" s="956"/>
      <c r="J30" s="956"/>
      <c r="K30" s="956"/>
      <c r="L30" s="956" t="s">
        <v>1768</v>
      </c>
      <c r="M30" s="957">
        <v>1500</v>
      </c>
      <c r="N30" s="971"/>
      <c r="O30" s="972"/>
      <c r="P30" s="973"/>
      <c r="Q30" s="955"/>
      <c r="R30" s="957">
        <v>1500</v>
      </c>
      <c r="S30" s="957"/>
      <c r="T30" s="957"/>
      <c r="U30" s="957"/>
      <c r="V30" s="957"/>
      <c r="W30" s="957"/>
      <c r="X30" s="957"/>
      <c r="Y30" s="957"/>
      <c r="Z30" s="957"/>
      <c r="AA30" s="956"/>
      <c r="AB30" s="954"/>
    </row>
    <row r="31" spans="1:28">
      <c r="A31" s="974"/>
      <c r="B31" s="974"/>
      <c r="C31" s="974"/>
      <c r="D31" s="974"/>
      <c r="E31" s="956"/>
      <c r="F31" s="956"/>
      <c r="G31" s="956"/>
      <c r="H31" s="950"/>
      <c r="I31" s="956"/>
      <c r="J31" s="956"/>
      <c r="K31" s="956"/>
      <c r="L31" s="956" t="s">
        <v>1769</v>
      </c>
      <c r="M31" s="957">
        <v>1800</v>
      </c>
      <c r="N31" s="971"/>
      <c r="O31" s="972"/>
      <c r="P31" s="973"/>
      <c r="Q31" s="955"/>
      <c r="R31" s="957">
        <v>1800</v>
      </c>
      <c r="S31" s="957"/>
      <c r="T31" s="957"/>
      <c r="U31" s="957"/>
      <c r="V31" s="957"/>
      <c r="W31" s="957"/>
      <c r="X31" s="957"/>
      <c r="Y31" s="957"/>
      <c r="Z31" s="957"/>
      <c r="AA31" s="956"/>
      <c r="AB31" s="954"/>
    </row>
    <row r="32" spans="1:28">
      <c r="A32" s="974"/>
      <c r="B32" s="974"/>
      <c r="C32" s="974"/>
      <c r="D32" s="974"/>
      <c r="E32" s="956"/>
      <c r="F32" s="956"/>
      <c r="G32" s="956"/>
      <c r="H32" s="950"/>
      <c r="I32" s="956"/>
      <c r="J32" s="956"/>
      <c r="K32" s="956"/>
      <c r="L32" s="956" t="s">
        <v>1770</v>
      </c>
      <c r="M32" s="957">
        <v>3600</v>
      </c>
      <c r="N32" s="971"/>
      <c r="O32" s="972"/>
      <c r="P32" s="973"/>
      <c r="Q32" s="955"/>
      <c r="R32" s="957">
        <v>3600</v>
      </c>
      <c r="S32" s="957"/>
      <c r="T32" s="957"/>
      <c r="U32" s="957"/>
      <c r="V32" s="957"/>
      <c r="W32" s="957"/>
      <c r="X32" s="957"/>
      <c r="Y32" s="957"/>
      <c r="Z32" s="957"/>
      <c r="AA32" s="956"/>
      <c r="AB32" s="954"/>
    </row>
    <row r="33" spans="1:28" ht="42.9" customHeight="1">
      <c r="A33" s="1075">
        <v>1</v>
      </c>
      <c r="B33" s="1088">
        <v>4</v>
      </c>
      <c r="C33" s="1088"/>
      <c r="D33" s="1075">
        <v>4</v>
      </c>
      <c r="E33" s="1076" t="s">
        <v>1771</v>
      </c>
      <c r="F33" s="1077"/>
      <c r="G33" s="1077"/>
      <c r="H33" s="1077"/>
      <c r="I33" s="1078"/>
      <c r="J33" s="1078"/>
      <c r="K33" s="1078"/>
      <c r="L33" s="1078"/>
      <c r="M33" s="1085"/>
      <c r="N33" s="1092">
        <v>5700</v>
      </c>
      <c r="O33" s="1091">
        <f>SUM(O34:O35)</f>
        <v>0</v>
      </c>
      <c r="P33" s="1091">
        <f t="shared" ref="P33:Z33" si="4">SUM(P34:P35)</f>
        <v>0</v>
      </c>
      <c r="Q33" s="1091">
        <f t="shared" si="4"/>
        <v>5700</v>
      </c>
      <c r="R33" s="1091">
        <f t="shared" si="4"/>
        <v>0</v>
      </c>
      <c r="S33" s="1091">
        <f t="shared" si="4"/>
        <v>0</v>
      </c>
      <c r="T33" s="1091">
        <f t="shared" si="4"/>
        <v>0</v>
      </c>
      <c r="U33" s="1091">
        <f t="shared" si="4"/>
        <v>0</v>
      </c>
      <c r="V33" s="1091">
        <f t="shared" si="4"/>
        <v>0</v>
      </c>
      <c r="W33" s="1091">
        <f t="shared" si="4"/>
        <v>0</v>
      </c>
      <c r="X33" s="1091">
        <f t="shared" si="4"/>
        <v>0</v>
      </c>
      <c r="Y33" s="1091">
        <f t="shared" si="4"/>
        <v>0</v>
      </c>
      <c r="Z33" s="1091">
        <f t="shared" si="4"/>
        <v>0</v>
      </c>
      <c r="AA33" s="1078" t="s">
        <v>1900</v>
      </c>
      <c r="AB33" s="1074" t="s">
        <v>1048</v>
      </c>
    </row>
    <row r="34" spans="1:28" ht="85.75" customHeight="1">
      <c r="A34" s="955"/>
      <c r="B34" s="1120"/>
      <c r="C34" s="1120"/>
      <c r="D34" s="955"/>
      <c r="E34" s="956"/>
      <c r="F34" s="956" t="s">
        <v>1772</v>
      </c>
      <c r="G34" s="975" t="s">
        <v>1773</v>
      </c>
      <c r="H34" s="950" t="s">
        <v>1734</v>
      </c>
      <c r="I34" s="956"/>
      <c r="J34" s="956"/>
      <c r="K34" s="956"/>
      <c r="L34" s="956" t="s">
        <v>1774</v>
      </c>
      <c r="M34" s="968">
        <v>4200</v>
      </c>
      <c r="N34" s="976"/>
      <c r="O34" s="972"/>
      <c r="P34" s="972"/>
      <c r="Q34" s="972">
        <v>4200</v>
      </c>
      <c r="R34" s="973"/>
      <c r="S34" s="957"/>
      <c r="T34" s="957"/>
      <c r="U34" s="957"/>
      <c r="V34" s="957"/>
      <c r="W34" s="957"/>
      <c r="X34" s="957"/>
      <c r="Y34" s="957"/>
      <c r="Z34" s="957"/>
      <c r="AA34" s="956" t="s">
        <v>1766</v>
      </c>
      <c r="AB34" s="954"/>
    </row>
    <row r="35" spans="1:28" ht="53.6" customHeight="1">
      <c r="A35" s="955"/>
      <c r="B35" s="955"/>
      <c r="C35" s="955"/>
      <c r="D35" s="955"/>
      <c r="E35" s="956"/>
      <c r="H35" s="950"/>
      <c r="I35" s="956"/>
      <c r="J35" s="956"/>
      <c r="K35" s="956"/>
      <c r="L35" s="956" t="s">
        <v>1768</v>
      </c>
      <c r="M35" s="968">
        <v>1500</v>
      </c>
      <c r="N35" s="976"/>
      <c r="O35" s="972"/>
      <c r="P35" s="972"/>
      <c r="Q35" s="955">
        <v>1500</v>
      </c>
      <c r="R35" s="973"/>
      <c r="S35" s="957"/>
      <c r="T35" s="957"/>
      <c r="U35" s="957"/>
      <c r="V35" s="957"/>
      <c r="W35" s="957"/>
      <c r="X35" s="957"/>
      <c r="Y35" s="957"/>
      <c r="Z35" s="957"/>
      <c r="AA35" s="956"/>
      <c r="AB35" s="954"/>
    </row>
    <row r="36" spans="1:28" ht="36.9" customHeight="1">
      <c r="A36" s="1075">
        <v>1</v>
      </c>
      <c r="B36" s="1088">
        <v>4</v>
      </c>
      <c r="C36" s="1088"/>
      <c r="D36" s="1075">
        <v>5</v>
      </c>
      <c r="E36" s="1076" t="s">
        <v>1775</v>
      </c>
      <c r="F36" s="1077"/>
      <c r="G36" s="1077"/>
      <c r="H36" s="1089"/>
      <c r="I36" s="1078"/>
      <c r="J36" s="1078"/>
      <c r="K36" s="1078"/>
      <c r="L36" s="1093"/>
      <c r="M36" s="1094"/>
      <c r="N36" s="1092">
        <v>12240</v>
      </c>
      <c r="O36" s="1091">
        <f>SUM(O37:O40)</f>
        <v>0</v>
      </c>
      <c r="P36" s="1091">
        <f t="shared" ref="P36:Z36" si="5">SUM(P37:P40)</f>
        <v>0</v>
      </c>
      <c r="Q36" s="1091">
        <f t="shared" si="5"/>
        <v>0</v>
      </c>
      <c r="R36" s="1091">
        <f t="shared" si="5"/>
        <v>0</v>
      </c>
      <c r="S36" s="1091">
        <f t="shared" si="5"/>
        <v>0</v>
      </c>
      <c r="T36" s="1091">
        <f t="shared" si="5"/>
        <v>12240</v>
      </c>
      <c r="U36" s="1091">
        <f t="shared" si="5"/>
        <v>0</v>
      </c>
      <c r="V36" s="1091">
        <f t="shared" si="5"/>
        <v>0</v>
      </c>
      <c r="W36" s="1091">
        <f t="shared" si="5"/>
        <v>0</v>
      </c>
      <c r="X36" s="1091">
        <f t="shared" si="5"/>
        <v>0</v>
      </c>
      <c r="Y36" s="1091">
        <f t="shared" si="5"/>
        <v>0</v>
      </c>
      <c r="Z36" s="1091">
        <f t="shared" si="5"/>
        <v>0</v>
      </c>
      <c r="AA36" s="1078" t="s">
        <v>1900</v>
      </c>
      <c r="AB36" s="1074" t="s">
        <v>1048</v>
      </c>
    </row>
    <row r="37" spans="1:28" ht="78" customHeight="1">
      <c r="A37" s="974"/>
      <c r="B37" s="974"/>
      <c r="C37" s="974"/>
      <c r="D37" s="974"/>
      <c r="E37" s="956"/>
      <c r="F37" s="956" t="s">
        <v>1776</v>
      </c>
      <c r="G37" s="956" t="s">
        <v>1777</v>
      </c>
      <c r="H37" s="950" t="s">
        <v>1734</v>
      </c>
      <c r="I37" s="956"/>
      <c r="J37" s="956"/>
      <c r="K37" s="956"/>
      <c r="L37" s="975" t="s">
        <v>1778</v>
      </c>
      <c r="M37" s="977">
        <v>2800</v>
      </c>
      <c r="N37" s="976"/>
      <c r="O37" s="972"/>
      <c r="P37" s="972"/>
      <c r="Q37" s="955"/>
      <c r="R37" s="972"/>
      <c r="S37" s="957"/>
      <c r="T37" s="957">
        <v>2800</v>
      </c>
      <c r="U37" s="957"/>
      <c r="V37" s="957"/>
      <c r="W37" s="957"/>
      <c r="X37" s="957"/>
      <c r="Y37" s="978"/>
      <c r="Z37" s="957"/>
      <c r="AA37" s="956" t="s">
        <v>1766</v>
      </c>
      <c r="AB37" s="954"/>
    </row>
    <row r="38" spans="1:28">
      <c r="A38" s="974"/>
      <c r="B38" s="974"/>
      <c r="C38" s="974"/>
      <c r="D38" s="974"/>
      <c r="E38" s="956"/>
      <c r="F38" s="956"/>
      <c r="G38" s="956"/>
      <c r="H38" s="950"/>
      <c r="I38" s="956"/>
      <c r="J38" s="956"/>
      <c r="K38" s="956"/>
      <c r="L38" s="975" t="s">
        <v>1779</v>
      </c>
      <c r="M38" s="977">
        <v>2000</v>
      </c>
      <c r="N38" s="976"/>
      <c r="O38" s="973"/>
      <c r="P38" s="972"/>
      <c r="Q38" s="955"/>
      <c r="R38" s="972"/>
      <c r="S38" s="957"/>
      <c r="T38" s="957">
        <v>2000</v>
      </c>
      <c r="U38" s="957"/>
      <c r="V38" s="957"/>
      <c r="W38" s="957"/>
      <c r="X38" s="957"/>
      <c r="Y38" s="978"/>
      <c r="Z38" s="957"/>
      <c r="AA38" s="956"/>
      <c r="AB38" s="954"/>
    </row>
    <row r="39" spans="1:28">
      <c r="A39" s="974"/>
      <c r="B39" s="974"/>
      <c r="C39" s="974"/>
      <c r="D39" s="974"/>
      <c r="E39" s="956"/>
      <c r="F39" s="956"/>
      <c r="G39" s="956"/>
      <c r="H39" s="950"/>
      <c r="I39" s="956"/>
      <c r="J39" s="956"/>
      <c r="K39" s="956"/>
      <c r="L39" s="975" t="s">
        <v>1780</v>
      </c>
      <c r="M39" s="977">
        <v>5400</v>
      </c>
      <c r="N39" s="976"/>
      <c r="O39" s="973"/>
      <c r="P39" s="972"/>
      <c r="Q39" s="955"/>
      <c r="R39" s="972"/>
      <c r="S39" s="957"/>
      <c r="T39" s="957">
        <v>5400</v>
      </c>
      <c r="U39" s="957"/>
      <c r="V39" s="957"/>
      <c r="W39" s="957"/>
      <c r="X39" s="957"/>
      <c r="Y39" s="978"/>
      <c r="Z39" s="957"/>
      <c r="AA39" s="956"/>
      <c r="AB39" s="954"/>
    </row>
    <row r="40" spans="1:28">
      <c r="A40" s="974"/>
      <c r="B40" s="974"/>
      <c r="C40" s="974"/>
      <c r="D40" s="974"/>
      <c r="E40" s="956"/>
      <c r="F40" s="956"/>
      <c r="G40" s="956"/>
      <c r="H40" s="950"/>
      <c r="I40" s="956"/>
      <c r="J40" s="956"/>
      <c r="K40" s="956"/>
      <c r="L40" s="975" t="s">
        <v>1781</v>
      </c>
      <c r="M40" s="977">
        <v>2040</v>
      </c>
      <c r="N40" s="976"/>
      <c r="O40" s="973"/>
      <c r="P40" s="972"/>
      <c r="Q40" s="955"/>
      <c r="R40" s="972"/>
      <c r="S40" s="957"/>
      <c r="T40" s="957">
        <v>2040</v>
      </c>
      <c r="U40" s="957"/>
      <c r="V40" s="957"/>
      <c r="W40" s="957"/>
      <c r="X40" s="957"/>
      <c r="Y40" s="978"/>
      <c r="Z40" s="957"/>
      <c r="AA40" s="956"/>
      <c r="AB40" s="954"/>
    </row>
    <row r="41" spans="1:28" ht="33.450000000000003" customHeight="1">
      <c r="A41" s="1075">
        <v>1</v>
      </c>
      <c r="B41" s="1088">
        <v>4</v>
      </c>
      <c r="C41" s="1088"/>
      <c r="D41" s="1075">
        <v>6</v>
      </c>
      <c r="E41" s="1076" t="s">
        <v>1782</v>
      </c>
      <c r="F41" s="1077"/>
      <c r="G41" s="1077"/>
      <c r="H41" s="1089"/>
      <c r="I41" s="1089"/>
      <c r="J41" s="1089"/>
      <c r="K41" s="1078"/>
      <c r="L41" s="1078"/>
      <c r="M41" s="1079"/>
      <c r="N41" s="1092">
        <v>5000</v>
      </c>
      <c r="O41" s="1091">
        <f>SUM(O42)</f>
        <v>0</v>
      </c>
      <c r="P41" s="1091">
        <f t="shared" ref="P41:Z41" si="6">SUM(P42)</f>
        <v>0</v>
      </c>
      <c r="Q41" s="1091">
        <f t="shared" si="6"/>
        <v>5000</v>
      </c>
      <c r="R41" s="1091">
        <f t="shared" si="6"/>
        <v>0</v>
      </c>
      <c r="S41" s="1091">
        <f t="shared" si="6"/>
        <v>0</v>
      </c>
      <c r="T41" s="1091">
        <f t="shared" si="6"/>
        <v>0</v>
      </c>
      <c r="U41" s="1091">
        <f t="shared" si="6"/>
        <v>0</v>
      </c>
      <c r="V41" s="1091">
        <f t="shared" si="6"/>
        <v>0</v>
      </c>
      <c r="W41" s="1091">
        <f t="shared" si="6"/>
        <v>0</v>
      </c>
      <c r="X41" s="1091">
        <f t="shared" si="6"/>
        <v>0</v>
      </c>
      <c r="Y41" s="1091">
        <f t="shared" si="6"/>
        <v>0</v>
      </c>
      <c r="Z41" s="1091">
        <f t="shared" si="6"/>
        <v>0</v>
      </c>
      <c r="AA41" s="1078" t="s">
        <v>1900</v>
      </c>
      <c r="AB41" s="1074" t="s">
        <v>1048</v>
      </c>
    </row>
    <row r="42" spans="1:28" ht="149.6" customHeight="1">
      <c r="A42" s="979"/>
      <c r="B42" s="979"/>
      <c r="C42" s="979"/>
      <c r="D42" s="979"/>
      <c r="E42" s="980"/>
      <c r="F42" s="956" t="s">
        <v>1783</v>
      </c>
      <c r="G42" s="956" t="s">
        <v>1784</v>
      </c>
      <c r="H42" s="950" t="s">
        <v>1734</v>
      </c>
      <c r="I42" s="950" t="s">
        <v>1734</v>
      </c>
      <c r="J42" s="950" t="s">
        <v>1734</v>
      </c>
      <c r="K42" s="956"/>
      <c r="L42" s="956" t="s">
        <v>1785</v>
      </c>
      <c r="M42" s="957">
        <v>5000</v>
      </c>
      <c r="N42" s="981"/>
      <c r="O42" s="982"/>
      <c r="P42" s="983"/>
      <c r="Q42" s="984">
        <v>5000</v>
      </c>
      <c r="R42" s="985"/>
      <c r="S42" s="986"/>
      <c r="T42" s="986"/>
      <c r="U42" s="986"/>
      <c r="V42" s="986"/>
      <c r="W42" s="986"/>
      <c r="X42" s="986"/>
      <c r="Y42" s="986"/>
      <c r="Z42" s="986"/>
      <c r="AA42" s="980" t="s">
        <v>1766</v>
      </c>
      <c r="AB42" s="954"/>
    </row>
    <row r="43" spans="1:28" s="992" customFormat="1" ht="42.9" customHeight="1">
      <c r="A43" s="1075">
        <v>1</v>
      </c>
      <c r="B43" s="1075">
        <v>3</v>
      </c>
      <c r="C43" s="1075">
        <v>5</v>
      </c>
      <c r="D43" s="1096">
        <v>7</v>
      </c>
      <c r="E43" s="1097" t="s">
        <v>1786</v>
      </c>
      <c r="F43" s="1098"/>
      <c r="G43" s="1095"/>
      <c r="H43" s="1099"/>
      <c r="I43" s="1099"/>
      <c r="J43" s="1099"/>
      <c r="K43" s="1099"/>
      <c r="L43" s="1099"/>
      <c r="M43" s="1100"/>
      <c r="N43" s="1101">
        <f>SUM(M44:M56)</f>
        <v>65100</v>
      </c>
      <c r="O43" s="1126">
        <f>SUM(O44:O57)</f>
        <v>0</v>
      </c>
      <c r="P43" s="1126">
        <f t="shared" ref="P43:Z43" si="7">SUM(P44:P57)</f>
        <v>0</v>
      </c>
      <c r="Q43" s="1126">
        <f t="shared" si="7"/>
        <v>33000</v>
      </c>
      <c r="R43" s="1126">
        <f t="shared" si="7"/>
        <v>13700</v>
      </c>
      <c r="S43" s="1126">
        <f t="shared" si="7"/>
        <v>0</v>
      </c>
      <c r="T43" s="1126">
        <f t="shared" si="7"/>
        <v>16600</v>
      </c>
      <c r="U43" s="1126">
        <f t="shared" si="7"/>
        <v>0</v>
      </c>
      <c r="V43" s="1126">
        <f t="shared" si="7"/>
        <v>900</v>
      </c>
      <c r="W43" s="1126">
        <f t="shared" si="7"/>
        <v>0</v>
      </c>
      <c r="X43" s="1126">
        <f t="shared" si="7"/>
        <v>900</v>
      </c>
      <c r="Y43" s="1126">
        <f t="shared" si="7"/>
        <v>0</v>
      </c>
      <c r="Z43" s="1126">
        <f t="shared" si="7"/>
        <v>0</v>
      </c>
      <c r="AA43" s="1102" t="s">
        <v>1900</v>
      </c>
      <c r="AB43" s="1074" t="s">
        <v>1048</v>
      </c>
    </row>
    <row r="44" spans="1:28" ht="114.65" customHeight="1">
      <c r="E44" s="988" t="s">
        <v>1788</v>
      </c>
      <c r="F44" s="993" t="s">
        <v>1789</v>
      </c>
      <c r="G44" s="993" t="s">
        <v>1790</v>
      </c>
      <c r="H44" s="994" t="s">
        <v>1734</v>
      </c>
      <c r="I44" s="995"/>
      <c r="J44" s="993"/>
      <c r="K44" s="995"/>
      <c r="L44" s="993" t="s">
        <v>1791</v>
      </c>
      <c r="M44" s="996">
        <f>321*100</f>
        <v>32100</v>
      </c>
      <c r="N44" s="997"/>
      <c r="O44" s="998"/>
      <c r="P44" s="998"/>
      <c r="Q44" s="977">
        <f>+M44</f>
        <v>32100</v>
      </c>
      <c r="R44" s="998"/>
      <c r="S44" s="998"/>
      <c r="T44" s="998"/>
      <c r="U44" s="998"/>
      <c r="V44" s="998"/>
      <c r="W44" s="999"/>
      <c r="X44" s="998"/>
      <c r="Y44" s="998"/>
      <c r="Z44" s="998"/>
      <c r="AA44" s="994" t="s">
        <v>1787</v>
      </c>
      <c r="AB44" s="993"/>
    </row>
    <row r="45" spans="1:28" ht="43.3" customHeight="1">
      <c r="A45" s="955"/>
      <c r="B45" s="955"/>
      <c r="C45" s="955"/>
      <c r="D45" s="955"/>
      <c r="E45" s="993"/>
      <c r="F45" s="991"/>
      <c r="G45" s="993" t="s">
        <v>1792</v>
      </c>
      <c r="H45" s="993"/>
      <c r="I45" s="994" t="s">
        <v>1734</v>
      </c>
      <c r="J45" s="993"/>
      <c r="K45" s="993"/>
      <c r="L45" s="993" t="s">
        <v>1793</v>
      </c>
      <c r="M45" s="996">
        <f>50*20</f>
        <v>1000</v>
      </c>
      <c r="N45" s="997"/>
      <c r="O45" s="998"/>
      <c r="P45" s="998"/>
      <c r="Q45" s="998"/>
      <c r="R45" s="998"/>
      <c r="S45" s="996"/>
      <c r="T45" s="977">
        <f>+M45</f>
        <v>1000</v>
      </c>
      <c r="U45" s="998"/>
      <c r="V45" s="998"/>
      <c r="W45" s="999"/>
      <c r="X45" s="998"/>
      <c r="Y45" s="998"/>
      <c r="Z45" s="998"/>
      <c r="AA45" s="994"/>
      <c r="AB45" s="993"/>
    </row>
    <row r="46" spans="1:28" ht="135" customHeight="1">
      <c r="A46" s="979"/>
      <c r="B46" s="979"/>
      <c r="C46" s="979"/>
      <c r="D46" s="979"/>
      <c r="E46" s="1000" t="s">
        <v>1794</v>
      </c>
      <c r="F46" s="995" t="s">
        <v>1795</v>
      </c>
      <c r="G46" s="993" t="s">
        <v>1796</v>
      </c>
      <c r="H46" s="993"/>
      <c r="I46" s="994" t="s">
        <v>1734</v>
      </c>
      <c r="J46" s="993"/>
      <c r="K46" s="993"/>
      <c r="L46" s="993" t="s">
        <v>1797</v>
      </c>
      <c r="M46" s="977">
        <v>4200</v>
      </c>
      <c r="N46" s="997"/>
      <c r="O46" s="998"/>
      <c r="P46" s="998"/>
      <c r="Q46" s="998"/>
      <c r="R46" s="998"/>
      <c r="S46" s="1001"/>
      <c r="T46" s="977">
        <f>+M46</f>
        <v>4200</v>
      </c>
      <c r="U46" s="998"/>
      <c r="V46" s="998"/>
      <c r="W46" s="999"/>
      <c r="X46" s="998"/>
      <c r="Y46" s="998"/>
      <c r="Z46" s="998"/>
      <c r="AA46" s="994"/>
      <c r="AB46" s="993"/>
    </row>
    <row r="47" spans="1:28" ht="57.65" customHeight="1">
      <c r="A47" s="979"/>
      <c r="B47" s="979"/>
      <c r="C47" s="979"/>
      <c r="D47" s="979"/>
      <c r="E47" s="1000"/>
      <c r="F47" s="1002"/>
      <c r="G47" s="993"/>
      <c r="H47" s="993"/>
      <c r="I47" s="994"/>
      <c r="J47" s="993"/>
      <c r="K47" s="993"/>
      <c r="L47" s="993" t="s">
        <v>1798</v>
      </c>
      <c r="M47" s="977">
        <v>1500</v>
      </c>
      <c r="N47" s="997"/>
      <c r="O47" s="998"/>
      <c r="P47" s="998"/>
      <c r="Q47" s="998"/>
      <c r="R47" s="998"/>
      <c r="S47" s="1001"/>
      <c r="T47" s="977">
        <v>1500</v>
      </c>
      <c r="U47" s="998"/>
      <c r="V47" s="998"/>
      <c r="W47" s="999"/>
      <c r="X47" s="998"/>
      <c r="Y47" s="998"/>
      <c r="Z47" s="998"/>
      <c r="AA47" s="994"/>
      <c r="AB47" s="993"/>
    </row>
    <row r="48" spans="1:28" ht="67.849999999999994" customHeight="1">
      <c r="A48" s="979"/>
      <c r="B48" s="979"/>
      <c r="C48" s="979"/>
      <c r="D48" s="979"/>
      <c r="E48" s="1000"/>
      <c r="F48" s="1003"/>
      <c r="G48" s="993"/>
      <c r="H48" s="993"/>
      <c r="I48" s="993"/>
      <c r="J48" s="993"/>
      <c r="K48" s="993"/>
      <c r="L48" s="993" t="s">
        <v>1799</v>
      </c>
      <c r="M48" s="977">
        <v>8400</v>
      </c>
      <c r="N48" s="997"/>
      <c r="O48" s="998"/>
      <c r="P48" s="998"/>
      <c r="Q48" s="998"/>
      <c r="R48" s="998"/>
      <c r="S48" s="1001"/>
      <c r="T48" s="977">
        <f>+M48</f>
        <v>8400</v>
      </c>
      <c r="U48" s="998"/>
      <c r="V48" s="998"/>
      <c r="W48" s="999"/>
      <c r="X48" s="998"/>
      <c r="Y48" s="998"/>
      <c r="Z48" s="998"/>
      <c r="AA48" s="994"/>
      <c r="AB48" s="993"/>
    </row>
    <row r="49" spans="1:28" ht="67.849999999999994" customHeight="1">
      <c r="A49" s="979"/>
      <c r="B49" s="979"/>
      <c r="C49" s="979"/>
      <c r="D49" s="979"/>
      <c r="E49" s="1000"/>
      <c r="F49" s="1003"/>
      <c r="G49" s="993"/>
      <c r="H49" s="993"/>
      <c r="I49" s="993"/>
      <c r="J49" s="993"/>
      <c r="K49" s="993"/>
      <c r="L49" s="993" t="s">
        <v>1800</v>
      </c>
      <c r="M49" s="977">
        <v>600</v>
      </c>
      <c r="N49" s="990"/>
      <c r="O49" s="1004"/>
      <c r="P49" s="1004"/>
      <c r="Q49" s="1004"/>
      <c r="R49" s="1004"/>
      <c r="S49" s="1005"/>
      <c r="T49" s="1006">
        <f>+M49</f>
        <v>600</v>
      </c>
      <c r="U49" s="1004"/>
      <c r="V49" s="1004"/>
      <c r="W49" s="1007"/>
      <c r="X49" s="1004"/>
      <c r="Y49" s="1004"/>
      <c r="Z49" s="1004"/>
      <c r="AA49" s="1008"/>
      <c r="AB49" s="993"/>
    </row>
    <row r="50" spans="1:28" ht="67.849999999999994" customHeight="1">
      <c r="A50" s="979"/>
      <c r="B50" s="979"/>
      <c r="C50" s="979"/>
      <c r="D50" s="979"/>
      <c r="E50" s="1000" t="s">
        <v>1801</v>
      </c>
      <c r="F50" s="993" t="s">
        <v>1802</v>
      </c>
      <c r="G50" s="993" t="s">
        <v>1803</v>
      </c>
      <c r="H50" s="994" t="s">
        <v>1734</v>
      </c>
      <c r="I50" s="994" t="s">
        <v>1734</v>
      </c>
      <c r="J50" s="994" t="s">
        <v>1734</v>
      </c>
      <c r="K50" s="994" t="s">
        <v>1734</v>
      </c>
      <c r="L50" s="993" t="s">
        <v>1804</v>
      </c>
      <c r="M50" s="977">
        <f>3*120*10</f>
        <v>3600</v>
      </c>
      <c r="N50" s="990"/>
      <c r="O50" s="1004"/>
      <c r="P50" s="1004"/>
      <c r="Q50" s="1006">
        <f>+M50/4</f>
        <v>900</v>
      </c>
      <c r="R50" s="1004"/>
      <c r="S50" s="1005"/>
      <c r="T50" s="1006">
        <f>+M50/4</f>
        <v>900</v>
      </c>
      <c r="U50" s="1004"/>
      <c r="V50" s="1006">
        <f>+M50/4</f>
        <v>900</v>
      </c>
      <c r="W50" s="1007"/>
      <c r="X50" s="1006">
        <f>+M50/4</f>
        <v>900</v>
      </c>
      <c r="Y50" s="1004"/>
      <c r="Z50" s="1004"/>
      <c r="AA50" s="1008"/>
      <c r="AB50" s="993"/>
    </row>
    <row r="51" spans="1:28" ht="128.15" customHeight="1">
      <c r="A51" s="979"/>
      <c r="B51" s="979"/>
      <c r="C51" s="979"/>
      <c r="D51" s="979"/>
      <c r="E51" s="1000" t="s">
        <v>1805</v>
      </c>
      <c r="F51" s="993" t="s">
        <v>1806</v>
      </c>
      <c r="G51" s="993" t="s">
        <v>1807</v>
      </c>
      <c r="H51" s="993"/>
      <c r="I51" s="994" t="s">
        <v>1734</v>
      </c>
      <c r="J51" s="993"/>
      <c r="K51" s="993"/>
      <c r="L51" s="993" t="s">
        <v>1808</v>
      </c>
      <c r="M51" s="977">
        <v>4200</v>
      </c>
      <c r="N51" s="997"/>
      <c r="O51" s="998"/>
      <c r="P51" s="998"/>
      <c r="Q51" s="998"/>
      <c r="R51" s="977">
        <f>+M51</f>
        <v>4200</v>
      </c>
      <c r="S51" s="1001"/>
      <c r="T51" s="989"/>
      <c r="U51" s="998"/>
      <c r="V51" s="998"/>
      <c r="W51" s="999"/>
      <c r="X51" s="998"/>
      <c r="Y51" s="998"/>
      <c r="Z51" s="998"/>
      <c r="AA51" s="994"/>
      <c r="AB51" s="993"/>
    </row>
    <row r="52" spans="1:28">
      <c r="A52" s="979"/>
      <c r="B52" s="979"/>
      <c r="C52" s="979"/>
      <c r="D52" s="979"/>
      <c r="E52" s="1000"/>
      <c r="F52" s="1000"/>
      <c r="G52" s="1000"/>
      <c r="H52" s="993"/>
      <c r="I52" s="994"/>
      <c r="J52" s="993"/>
      <c r="K52" s="993"/>
      <c r="L52" s="993" t="s">
        <v>1809</v>
      </c>
      <c r="M52" s="977">
        <v>1500</v>
      </c>
      <c r="N52" s="997"/>
      <c r="O52" s="998"/>
      <c r="P52" s="998"/>
      <c r="Q52" s="998"/>
      <c r="R52" s="977">
        <v>1500</v>
      </c>
      <c r="S52" s="1001"/>
      <c r="T52" s="977"/>
      <c r="U52" s="998"/>
      <c r="V52" s="998"/>
      <c r="W52" s="999"/>
      <c r="X52" s="998"/>
      <c r="Y52" s="998"/>
      <c r="Z52" s="998"/>
      <c r="AA52" s="994"/>
      <c r="AB52" s="993"/>
    </row>
    <row r="53" spans="1:28">
      <c r="A53" s="979"/>
      <c r="B53" s="979"/>
      <c r="C53" s="979"/>
      <c r="D53" s="979"/>
      <c r="E53" s="1000"/>
      <c r="F53" s="1003"/>
      <c r="G53" s="1000"/>
      <c r="H53" s="993"/>
      <c r="I53" s="993"/>
      <c r="J53" s="993"/>
      <c r="K53" s="993"/>
      <c r="L53" s="993" t="s">
        <v>1810</v>
      </c>
      <c r="M53" s="977">
        <f>600*5</f>
        <v>3000</v>
      </c>
      <c r="N53" s="997"/>
      <c r="O53" s="998"/>
      <c r="P53" s="998"/>
      <c r="Q53" s="998"/>
      <c r="R53" s="977">
        <f>600*5</f>
        <v>3000</v>
      </c>
      <c r="S53" s="1001"/>
      <c r="T53" s="977"/>
      <c r="U53" s="998"/>
      <c r="V53" s="998"/>
      <c r="W53" s="999"/>
      <c r="X53" s="998"/>
      <c r="Y53" s="998"/>
      <c r="Z53" s="998"/>
      <c r="AA53" s="994"/>
      <c r="AB53" s="993"/>
    </row>
    <row r="54" spans="1:28">
      <c r="A54" s="979"/>
      <c r="B54" s="979"/>
      <c r="C54" s="979"/>
      <c r="D54" s="979"/>
      <c r="E54" s="1000"/>
      <c r="F54" s="1003"/>
      <c r="G54" s="1000"/>
      <c r="H54" s="993"/>
      <c r="I54" s="993"/>
      <c r="J54" s="993"/>
      <c r="K54" s="993"/>
      <c r="L54" s="993" t="s">
        <v>1811</v>
      </c>
      <c r="M54" s="996">
        <f>100*20*2</f>
        <v>4000</v>
      </c>
      <c r="N54" s="997"/>
      <c r="O54" s="998"/>
      <c r="P54" s="998"/>
      <c r="Q54" s="998"/>
      <c r="R54" s="977">
        <f>+M54</f>
        <v>4000</v>
      </c>
      <c r="S54" s="996"/>
      <c r="T54" s="977"/>
      <c r="U54" s="998"/>
      <c r="V54" s="998"/>
      <c r="W54" s="999"/>
      <c r="X54" s="998"/>
      <c r="Y54" s="998"/>
      <c r="Z54" s="998"/>
      <c r="AA54" s="994"/>
      <c r="AB54" s="993"/>
    </row>
    <row r="55" spans="1:28" ht="30" customHeight="1">
      <c r="A55" s="955"/>
      <c r="B55" s="955"/>
      <c r="C55" s="955"/>
      <c r="D55" s="955"/>
      <c r="E55" s="993"/>
      <c r="F55" s="991"/>
      <c r="G55" s="993"/>
      <c r="H55" s="993"/>
      <c r="I55" s="993"/>
      <c r="J55" s="993"/>
      <c r="K55" s="993"/>
      <c r="L55" s="993" t="s">
        <v>1812</v>
      </c>
      <c r="M55" s="977"/>
      <c r="N55" s="997"/>
      <c r="O55" s="998"/>
      <c r="P55" s="998"/>
      <c r="Q55" s="998"/>
      <c r="R55" s="998"/>
      <c r="S55" s="1001"/>
      <c r="T55" s="977"/>
      <c r="U55" s="998"/>
      <c r="V55" s="998"/>
      <c r="W55" s="999"/>
      <c r="X55" s="998"/>
      <c r="Y55" s="998"/>
      <c r="Z55" s="998"/>
      <c r="AA55" s="994"/>
      <c r="AB55" s="993"/>
    </row>
    <row r="56" spans="1:28" ht="40.85" customHeight="1">
      <c r="A56" s="955"/>
      <c r="B56" s="955"/>
      <c r="C56" s="955"/>
      <c r="D56" s="955"/>
      <c r="E56" s="993"/>
      <c r="F56" s="991"/>
      <c r="G56" s="993"/>
      <c r="H56" s="993"/>
      <c r="I56" s="993"/>
      <c r="J56" s="993"/>
      <c r="K56" s="993"/>
      <c r="L56" s="995" t="s">
        <v>1813</v>
      </c>
      <c r="M56" s="977">
        <v>1000</v>
      </c>
      <c r="N56" s="997"/>
      <c r="O56" s="998"/>
      <c r="P56" s="998"/>
      <c r="Q56" s="998"/>
      <c r="R56" s="977">
        <f>+M56</f>
        <v>1000</v>
      </c>
      <c r="S56" s="1001"/>
      <c r="T56" s="977"/>
      <c r="U56" s="998"/>
      <c r="V56" s="998"/>
      <c r="W56" s="999"/>
      <c r="X56" s="998"/>
      <c r="Y56" s="998"/>
      <c r="Z56" s="998"/>
      <c r="AA56" s="994"/>
      <c r="AB56" s="993"/>
    </row>
    <row r="57" spans="1:28" ht="40.85" customHeight="1">
      <c r="A57" s="955"/>
      <c r="B57" s="955"/>
      <c r="C57" s="955"/>
      <c r="D57" s="955"/>
      <c r="E57" s="993"/>
      <c r="F57" s="991"/>
      <c r="G57" s="993"/>
      <c r="H57" s="993"/>
      <c r="I57" s="993"/>
      <c r="J57" s="993"/>
      <c r="K57" s="993"/>
      <c r="L57" s="1009"/>
      <c r="M57" s="977"/>
      <c r="N57" s="997"/>
      <c r="O57" s="998"/>
      <c r="P57" s="998"/>
      <c r="Q57" s="998"/>
      <c r="R57" s="1010"/>
      <c r="S57" s="1001"/>
      <c r="T57" s="977"/>
      <c r="U57" s="998"/>
      <c r="V57" s="998"/>
      <c r="W57" s="999"/>
      <c r="X57" s="998"/>
      <c r="Y57" s="998"/>
      <c r="Z57" s="998"/>
      <c r="AA57" s="994"/>
      <c r="AB57" s="993"/>
    </row>
    <row r="58" spans="1:28" ht="38.15" customHeight="1">
      <c r="A58" s="1075">
        <v>1</v>
      </c>
      <c r="B58" s="1075">
        <v>3</v>
      </c>
      <c r="C58" s="1075">
        <v>6</v>
      </c>
      <c r="D58" s="1075">
        <v>8</v>
      </c>
      <c r="E58" s="1103" t="s">
        <v>1814</v>
      </c>
      <c r="F58" s="1077"/>
      <c r="G58" s="1077"/>
      <c r="H58" s="1077"/>
      <c r="I58" s="1077"/>
      <c r="J58" s="1104"/>
      <c r="K58" s="1104"/>
      <c r="L58" s="1093"/>
      <c r="M58" s="1105"/>
      <c r="N58" s="1092">
        <v>87800</v>
      </c>
      <c r="O58" s="1105">
        <f>SUM(O59:O63)</f>
        <v>0</v>
      </c>
      <c r="P58" s="1105">
        <f t="shared" ref="P58:Z58" si="8">SUM(P59:P63)</f>
        <v>0</v>
      </c>
      <c r="Q58" s="1105">
        <f t="shared" si="8"/>
        <v>0</v>
      </c>
      <c r="R58" s="1105">
        <f t="shared" si="8"/>
        <v>0</v>
      </c>
      <c r="S58" s="1105">
        <f t="shared" si="8"/>
        <v>0</v>
      </c>
      <c r="T58" s="1105">
        <f t="shared" si="8"/>
        <v>87800</v>
      </c>
      <c r="U58" s="1105">
        <f t="shared" si="8"/>
        <v>0</v>
      </c>
      <c r="V58" s="1105">
        <f t="shared" si="8"/>
        <v>0</v>
      </c>
      <c r="W58" s="1105">
        <f t="shared" si="8"/>
        <v>0</v>
      </c>
      <c r="X58" s="1105">
        <f t="shared" si="8"/>
        <v>0</v>
      </c>
      <c r="Y58" s="1105">
        <f t="shared" si="8"/>
        <v>0</v>
      </c>
      <c r="Z58" s="1105">
        <f t="shared" si="8"/>
        <v>0</v>
      </c>
      <c r="AA58" s="1093" t="s">
        <v>1900</v>
      </c>
      <c r="AB58" s="1074" t="s">
        <v>1048</v>
      </c>
    </row>
    <row r="59" spans="1:28" ht="141.9" customHeight="1">
      <c r="A59" s="974"/>
      <c r="B59" s="974"/>
      <c r="C59" s="974"/>
      <c r="D59" s="974"/>
      <c r="E59" s="975"/>
      <c r="F59" s="975" t="s">
        <v>1815</v>
      </c>
      <c r="G59" s="1011" t="s">
        <v>1816</v>
      </c>
      <c r="H59" s="1012"/>
      <c r="I59" s="1012" t="s">
        <v>1734</v>
      </c>
      <c r="J59" s="1012"/>
      <c r="K59" s="1012"/>
      <c r="L59" s="975" t="s">
        <v>1818</v>
      </c>
      <c r="M59" s="1013">
        <v>14000</v>
      </c>
      <c r="N59" s="976"/>
      <c r="O59" s="1013"/>
      <c r="P59" s="1013"/>
      <c r="Q59" s="951"/>
      <c r="R59" s="1013"/>
      <c r="S59" s="1012"/>
      <c r="T59" s="1013">
        <v>14000</v>
      </c>
      <c r="U59" s="1012"/>
      <c r="V59" s="1012"/>
      <c r="W59" s="1013"/>
      <c r="X59" s="1013"/>
      <c r="Y59" s="1013"/>
      <c r="Z59" s="1013"/>
      <c r="AA59" s="975" t="s">
        <v>1817</v>
      </c>
      <c r="AB59" s="954"/>
    </row>
    <row r="60" spans="1:28" ht="44.4" customHeight="1">
      <c r="A60" s="974"/>
      <c r="B60" s="974"/>
      <c r="C60" s="974"/>
      <c r="D60" s="974"/>
      <c r="E60" s="975"/>
      <c r="F60" s="975"/>
      <c r="G60" s="1011"/>
      <c r="H60" s="1012"/>
      <c r="I60" s="1012"/>
      <c r="J60" s="1012"/>
      <c r="K60" s="1012"/>
      <c r="L60" s="975" t="s">
        <v>1819</v>
      </c>
      <c r="M60" s="1013">
        <v>5000</v>
      </c>
      <c r="N60" s="976"/>
      <c r="O60" s="1013"/>
      <c r="P60" s="1013"/>
      <c r="Q60" s="951"/>
      <c r="R60" s="1013"/>
      <c r="S60" s="1012"/>
      <c r="T60" s="1013">
        <v>5000</v>
      </c>
      <c r="U60" s="1012"/>
      <c r="V60" s="1012"/>
      <c r="W60" s="1013"/>
      <c r="X60" s="1013"/>
      <c r="Y60" s="1013"/>
      <c r="Z60" s="1013"/>
      <c r="AA60" s="975"/>
      <c r="AB60" s="954"/>
    </row>
    <row r="61" spans="1:28" ht="42" customHeight="1">
      <c r="A61" s="974"/>
      <c r="B61" s="974"/>
      <c r="C61" s="974"/>
      <c r="D61" s="974"/>
      <c r="E61" s="975"/>
      <c r="F61" s="975"/>
      <c r="G61" s="1011"/>
      <c r="H61" s="1012"/>
      <c r="I61" s="1012"/>
      <c r="J61" s="1012"/>
      <c r="K61" s="1012"/>
      <c r="L61" s="975" t="s">
        <v>1820</v>
      </c>
      <c r="M61" s="1013">
        <v>4800</v>
      </c>
      <c r="N61" s="976"/>
      <c r="O61" s="1013"/>
      <c r="P61" s="1013"/>
      <c r="Q61" s="951"/>
      <c r="R61" s="1013"/>
      <c r="S61" s="1012"/>
      <c r="T61" s="1013">
        <v>4800</v>
      </c>
      <c r="U61" s="1012"/>
      <c r="V61" s="1012"/>
      <c r="W61" s="1013"/>
      <c r="X61" s="1013"/>
      <c r="Y61" s="1013"/>
      <c r="Z61" s="1013"/>
      <c r="AA61" s="975"/>
      <c r="AB61" s="954"/>
    </row>
    <row r="62" spans="1:28" ht="42" customHeight="1">
      <c r="A62" s="974"/>
      <c r="B62" s="974"/>
      <c r="C62" s="974"/>
      <c r="D62" s="974"/>
      <c r="E62" s="975"/>
      <c r="F62" s="975"/>
      <c r="G62" s="1011"/>
      <c r="H62" s="1012"/>
      <c r="I62" s="1012"/>
      <c r="J62" s="1012"/>
      <c r="K62" s="1012"/>
      <c r="L62" s="975" t="s">
        <v>1821</v>
      </c>
      <c r="M62" s="1013">
        <v>4000</v>
      </c>
      <c r="N62" s="976"/>
      <c r="O62" s="1013"/>
      <c r="P62" s="1013"/>
      <c r="Q62" s="951"/>
      <c r="R62" s="1013"/>
      <c r="S62" s="1012"/>
      <c r="T62" s="1013">
        <v>4000</v>
      </c>
      <c r="U62" s="1012"/>
      <c r="V62" s="1012"/>
      <c r="W62" s="1013"/>
      <c r="X62" s="1013"/>
      <c r="Y62" s="1013"/>
      <c r="Z62" s="1013"/>
      <c r="AA62" s="975"/>
      <c r="AB62" s="954"/>
    </row>
    <row r="63" spans="1:28" ht="55.85" customHeight="1">
      <c r="A63" s="974"/>
      <c r="B63" s="974"/>
      <c r="C63" s="974"/>
      <c r="D63" s="974"/>
      <c r="E63" s="975"/>
      <c r="F63" s="975"/>
      <c r="G63" s="1011"/>
      <c r="H63" s="1012"/>
      <c r="I63" s="1012"/>
      <c r="J63" s="1012"/>
      <c r="K63" s="1012"/>
      <c r="L63" s="975" t="s">
        <v>1822</v>
      </c>
      <c r="M63" s="1013">
        <v>60000</v>
      </c>
      <c r="N63" s="976"/>
      <c r="O63" s="1013"/>
      <c r="P63" s="1013"/>
      <c r="Q63" s="951"/>
      <c r="R63" s="1013"/>
      <c r="S63" s="1012"/>
      <c r="T63" s="1013">
        <v>60000</v>
      </c>
      <c r="U63" s="1012"/>
      <c r="V63" s="1012"/>
      <c r="W63" s="1013"/>
      <c r="X63" s="1013"/>
      <c r="Y63" s="1013"/>
      <c r="Z63" s="1013"/>
      <c r="AA63" s="975"/>
      <c r="AB63" s="954"/>
    </row>
    <row r="64" spans="1:28" ht="33" customHeight="1">
      <c r="A64" s="1075">
        <v>1</v>
      </c>
      <c r="B64" s="1075">
        <v>3</v>
      </c>
      <c r="C64" s="1075">
        <v>6</v>
      </c>
      <c r="D64" s="1075">
        <v>9</v>
      </c>
      <c r="E64" s="1103" t="s">
        <v>1823</v>
      </c>
      <c r="F64" s="1077"/>
      <c r="G64" s="1077"/>
      <c r="H64" s="1104"/>
      <c r="I64" s="1104" t="s">
        <v>1734</v>
      </c>
      <c r="J64" s="1104"/>
      <c r="K64" s="1104"/>
      <c r="L64" s="1106"/>
      <c r="M64" s="1105"/>
      <c r="N64" s="1092">
        <v>12000</v>
      </c>
      <c r="O64" s="1105">
        <f>SUM(O65:O66)</f>
        <v>0</v>
      </c>
      <c r="P64" s="1105">
        <f t="shared" ref="P64:Z64" si="9">SUM(P65:P66)</f>
        <v>0</v>
      </c>
      <c r="Q64" s="1105">
        <f t="shared" si="9"/>
        <v>0</v>
      </c>
      <c r="R64" s="1105">
        <f t="shared" si="9"/>
        <v>0</v>
      </c>
      <c r="S64" s="1105">
        <f t="shared" si="9"/>
        <v>0</v>
      </c>
      <c r="T64" s="1105">
        <f t="shared" si="9"/>
        <v>12000</v>
      </c>
      <c r="U64" s="1105">
        <f t="shared" si="9"/>
        <v>0</v>
      </c>
      <c r="V64" s="1105">
        <f t="shared" si="9"/>
        <v>0</v>
      </c>
      <c r="W64" s="1105">
        <f t="shared" si="9"/>
        <v>0</v>
      </c>
      <c r="X64" s="1105">
        <f t="shared" si="9"/>
        <v>0</v>
      </c>
      <c r="Y64" s="1105">
        <f t="shared" si="9"/>
        <v>0</v>
      </c>
      <c r="Z64" s="1105">
        <f t="shared" si="9"/>
        <v>0</v>
      </c>
      <c r="AA64" s="1093" t="s">
        <v>1900</v>
      </c>
      <c r="AB64" s="1074" t="s">
        <v>1048</v>
      </c>
    </row>
    <row r="65" spans="1:28" ht="163.75" customHeight="1">
      <c r="A65" s="1015"/>
      <c r="B65" s="1015"/>
      <c r="C65" s="1015"/>
      <c r="D65" s="1015"/>
      <c r="E65" s="439"/>
      <c r="F65" s="975" t="s">
        <v>1824</v>
      </c>
      <c r="G65" s="1011" t="s">
        <v>1825</v>
      </c>
      <c r="H65" s="1012"/>
      <c r="I65" s="1012"/>
      <c r="J65" s="1012"/>
      <c r="K65" s="1012"/>
      <c r="L65" s="1014" t="s">
        <v>1826</v>
      </c>
      <c r="M65" s="1013">
        <v>7000</v>
      </c>
      <c r="N65" s="981"/>
      <c r="O65" s="1016"/>
      <c r="P65" s="1016"/>
      <c r="Q65" s="1016"/>
      <c r="R65" s="1016"/>
      <c r="S65" s="1016"/>
      <c r="T65" s="1013">
        <v>7000</v>
      </c>
      <c r="U65" s="1016"/>
      <c r="V65" s="1016"/>
      <c r="W65" s="1016"/>
      <c r="X65" s="1016"/>
      <c r="Y65" s="1016"/>
      <c r="Z65" s="1016"/>
      <c r="AA65" s="988" t="s">
        <v>1817</v>
      </c>
      <c r="AB65" s="954"/>
    </row>
    <row r="66" spans="1:28" ht="79.75" customHeight="1">
      <c r="A66" s="1015"/>
      <c r="B66" s="1015"/>
      <c r="C66" s="1015"/>
      <c r="D66" s="1015"/>
      <c r="E66" s="439"/>
      <c r="F66" s="1017"/>
      <c r="G66" s="1018"/>
      <c r="H66" s="440"/>
      <c r="I66" s="440"/>
      <c r="J66" s="440"/>
      <c r="K66" s="440"/>
      <c r="L66" s="1019" t="s">
        <v>1827</v>
      </c>
      <c r="M66" s="1020">
        <v>5000</v>
      </c>
      <c r="N66" s="1021"/>
      <c r="O66" s="1022"/>
      <c r="P66" s="1022"/>
      <c r="Q66" s="1022"/>
      <c r="R66" s="1022"/>
      <c r="S66" s="1022"/>
      <c r="T66" s="1020">
        <v>5000</v>
      </c>
      <c r="U66" s="1022"/>
      <c r="V66" s="1022"/>
      <c r="W66" s="1022"/>
      <c r="X66" s="1022"/>
      <c r="Y66" s="1022"/>
      <c r="Z66" s="1022"/>
      <c r="AA66" s="1017"/>
      <c r="AB66" s="1023"/>
    </row>
    <row r="67" spans="1:28" ht="61.2" customHeight="1">
      <c r="A67" s="1075">
        <v>1</v>
      </c>
      <c r="B67" s="1075">
        <v>4</v>
      </c>
      <c r="C67" s="1075">
        <v>7</v>
      </c>
      <c r="D67" s="1107">
        <v>10</v>
      </c>
      <c r="E67" s="1113" t="s">
        <v>1828</v>
      </c>
      <c r="F67" s="1104" t="s">
        <v>1829</v>
      </c>
      <c r="G67" s="1108" t="s">
        <v>1830</v>
      </c>
      <c r="H67" s="1104"/>
      <c r="I67" s="1104"/>
      <c r="J67" s="1104"/>
      <c r="K67" s="1104"/>
      <c r="L67" s="1104"/>
      <c r="M67" s="1105"/>
      <c r="N67" s="1092">
        <v>32736</v>
      </c>
      <c r="O67" s="1127">
        <f>SUM(O68:O74)</f>
        <v>0</v>
      </c>
      <c r="P67" s="1127">
        <f t="shared" ref="P67:Z67" si="10">SUM(P68:P74)</f>
        <v>0</v>
      </c>
      <c r="Q67" s="1127">
        <f t="shared" si="10"/>
        <v>0</v>
      </c>
      <c r="R67" s="1127">
        <f t="shared" si="10"/>
        <v>2000</v>
      </c>
      <c r="S67" s="1127">
        <f t="shared" si="10"/>
        <v>2000</v>
      </c>
      <c r="T67" s="1127">
        <f t="shared" si="10"/>
        <v>20986</v>
      </c>
      <c r="U67" s="1127">
        <f t="shared" si="10"/>
        <v>0</v>
      </c>
      <c r="V67" s="1127">
        <f t="shared" si="10"/>
        <v>0</v>
      </c>
      <c r="W67" s="1127">
        <f t="shared" si="10"/>
        <v>3000</v>
      </c>
      <c r="X67" s="1127">
        <f t="shared" si="10"/>
        <v>0</v>
      </c>
      <c r="Y67" s="1127">
        <f t="shared" si="10"/>
        <v>4750</v>
      </c>
      <c r="Z67" s="1127">
        <f t="shared" si="10"/>
        <v>0</v>
      </c>
      <c r="AA67" s="1104" t="s">
        <v>1900</v>
      </c>
      <c r="AB67" s="1074" t="s">
        <v>1048</v>
      </c>
    </row>
    <row r="68" spans="1:28" ht="79.849999999999994" customHeight="1">
      <c r="A68" s="1026"/>
      <c r="B68" s="1026"/>
      <c r="C68" s="1026"/>
      <c r="D68" s="1026"/>
      <c r="E68" s="1027" t="s">
        <v>1832</v>
      </c>
      <c r="F68" s="1028" t="s">
        <v>1833</v>
      </c>
      <c r="G68" s="1028" t="s">
        <v>1834</v>
      </c>
      <c r="H68" s="953"/>
      <c r="I68" s="953" t="s">
        <v>1734</v>
      </c>
      <c r="J68" s="1028"/>
      <c r="K68" s="1028"/>
      <c r="L68" s="1029" t="s">
        <v>1835</v>
      </c>
      <c r="M68" s="1029">
        <f>5*10*120</f>
        <v>6000</v>
      </c>
      <c r="N68" s="1030"/>
      <c r="O68" s="1029"/>
      <c r="P68" s="1029"/>
      <c r="Q68" s="1016"/>
      <c r="R68" s="1029">
        <v>2000</v>
      </c>
      <c r="S68" s="1029">
        <v>2000</v>
      </c>
      <c r="T68" s="1029">
        <v>2000</v>
      </c>
      <c r="U68" s="1029"/>
      <c r="V68" s="1029"/>
      <c r="W68" s="1029"/>
      <c r="X68" s="1029"/>
      <c r="Y68" s="1029"/>
      <c r="Z68" s="1029"/>
      <c r="AA68" s="1031" t="s">
        <v>1831</v>
      </c>
      <c r="AB68" s="1032"/>
    </row>
    <row r="69" spans="1:28" ht="48">
      <c r="A69" s="987"/>
      <c r="B69" s="987"/>
      <c r="C69" s="987"/>
      <c r="D69" s="987"/>
      <c r="E69" s="1024" t="s">
        <v>1836</v>
      </c>
      <c r="F69" s="1024" t="s">
        <v>1837</v>
      </c>
      <c r="G69" s="1025" t="s">
        <v>1838</v>
      </c>
      <c r="H69" s="950"/>
      <c r="I69" s="1033"/>
      <c r="J69" s="1024"/>
      <c r="K69" s="953" t="s">
        <v>1734</v>
      </c>
      <c r="L69" s="1014" t="s">
        <v>1839</v>
      </c>
      <c r="M69" s="1014">
        <v>3500</v>
      </c>
      <c r="N69" s="1034"/>
      <c r="O69" s="1014"/>
      <c r="P69" s="1014"/>
      <c r="Q69" s="1013"/>
      <c r="R69" s="1014"/>
      <c r="S69" s="1014"/>
      <c r="T69" s="1014"/>
      <c r="U69" s="1014"/>
      <c r="V69" s="1014"/>
      <c r="W69" s="1014"/>
      <c r="X69" s="1014"/>
      <c r="Y69" s="1014">
        <v>3500</v>
      </c>
      <c r="Z69" s="1014"/>
      <c r="AA69" s="1035"/>
      <c r="AB69" s="1025"/>
    </row>
    <row r="70" spans="1:28">
      <c r="A70" s="987"/>
      <c r="B70" s="987"/>
      <c r="C70" s="987"/>
      <c r="D70" s="987"/>
      <c r="E70" s="1024"/>
      <c r="F70" s="1024"/>
      <c r="G70" s="1025"/>
      <c r="H70" s="950"/>
      <c r="I70" s="1033"/>
      <c r="J70" s="1024"/>
      <c r="K70" s="1024"/>
      <c r="L70" s="1014" t="s">
        <v>1840</v>
      </c>
      <c r="M70" s="1014">
        <v>1250</v>
      </c>
      <c r="N70" s="1034"/>
      <c r="O70" s="1014"/>
      <c r="P70" s="1014"/>
      <c r="Q70" s="1013"/>
      <c r="R70" s="1014"/>
      <c r="S70" s="1014"/>
      <c r="T70" s="1014"/>
      <c r="U70" s="1014"/>
      <c r="V70" s="1014"/>
      <c r="W70" s="1014"/>
      <c r="X70" s="1014"/>
      <c r="Y70" s="1014">
        <v>1250</v>
      </c>
      <c r="Z70" s="1014"/>
      <c r="AA70" s="1035"/>
      <c r="AB70" s="1025"/>
    </row>
    <row r="71" spans="1:28" ht="48">
      <c r="A71" s="987"/>
      <c r="B71" s="987"/>
      <c r="C71" s="987"/>
      <c r="D71" s="987"/>
      <c r="E71" s="1024" t="s">
        <v>1841</v>
      </c>
      <c r="F71" s="1024" t="s">
        <v>1842</v>
      </c>
      <c r="G71" s="1024" t="s">
        <v>1834</v>
      </c>
      <c r="H71" s="1024"/>
      <c r="I71" s="950" t="s">
        <v>1734</v>
      </c>
      <c r="J71" s="950" t="s">
        <v>1734</v>
      </c>
      <c r="K71" s="950"/>
      <c r="L71" s="1014" t="s">
        <v>1835</v>
      </c>
      <c r="M71" s="1014">
        <f>5*10*120</f>
        <v>6000</v>
      </c>
      <c r="N71" s="1034"/>
      <c r="O71" s="1014"/>
      <c r="P71" s="1014"/>
      <c r="Q71" s="1013"/>
      <c r="R71" s="1014"/>
      <c r="S71" s="1014"/>
      <c r="T71" s="1014">
        <v>3000</v>
      </c>
      <c r="U71" s="1014"/>
      <c r="V71" s="1014"/>
      <c r="W71" s="1014">
        <v>3000</v>
      </c>
      <c r="X71" s="1014"/>
      <c r="Y71" s="1014"/>
      <c r="Z71" s="1014"/>
      <c r="AA71" s="1035"/>
      <c r="AB71" s="1025"/>
    </row>
    <row r="72" spans="1:28" ht="25.2" customHeight="1">
      <c r="A72" s="1026"/>
      <c r="B72" s="1026"/>
      <c r="C72" s="1026"/>
      <c r="D72" s="1026"/>
      <c r="E72" s="3623" t="s">
        <v>1898</v>
      </c>
      <c r="F72" s="3625" t="s">
        <v>1843</v>
      </c>
      <c r="G72" s="3625" t="s">
        <v>1844</v>
      </c>
      <c r="H72" s="3627"/>
      <c r="I72" s="3627" t="s">
        <v>1734</v>
      </c>
      <c r="J72" s="3627"/>
      <c r="K72" s="3629"/>
      <c r="L72" s="1025" t="s">
        <v>1845</v>
      </c>
      <c r="M72" s="1036">
        <v>3000</v>
      </c>
      <c r="N72" s="1037"/>
      <c r="O72" s="1038"/>
      <c r="P72" s="1038"/>
      <c r="Q72" s="1039"/>
      <c r="R72" s="1038"/>
      <c r="S72" s="1038"/>
      <c r="T72" s="1038">
        <v>3000</v>
      </c>
      <c r="U72" s="1038"/>
      <c r="V72" s="1038"/>
      <c r="W72" s="1038"/>
      <c r="X72" s="1038"/>
      <c r="Y72" s="1038"/>
      <c r="Z72" s="1038"/>
      <c r="AA72" s="1035"/>
      <c r="AB72" s="1025"/>
    </row>
    <row r="73" spans="1:28">
      <c r="A73" s="987"/>
      <c r="B73" s="987"/>
      <c r="C73" s="987"/>
      <c r="D73" s="987"/>
      <c r="E73" s="3624"/>
      <c r="F73" s="3626"/>
      <c r="G73" s="3626"/>
      <c r="H73" s="3628"/>
      <c r="I73" s="3628"/>
      <c r="J73" s="3628"/>
      <c r="K73" s="3630"/>
      <c r="L73" s="1025" t="s">
        <v>1846</v>
      </c>
      <c r="M73" s="1036">
        <f>(3*750)+(240*2)+(2400*2)</f>
        <v>7530</v>
      </c>
      <c r="N73" s="1037"/>
      <c r="O73" s="1038"/>
      <c r="P73" s="1038"/>
      <c r="Q73" s="1039"/>
      <c r="R73" s="1038"/>
      <c r="S73" s="1038"/>
      <c r="T73" s="1038">
        <v>7530</v>
      </c>
      <c r="U73" s="1038"/>
      <c r="V73" s="1038"/>
      <c r="W73" s="1038"/>
      <c r="X73" s="1038"/>
      <c r="Y73" s="1038"/>
      <c r="Z73" s="1038"/>
      <c r="AA73" s="1035"/>
      <c r="AB73" s="1025"/>
    </row>
    <row r="74" spans="1:28">
      <c r="A74" s="1040"/>
      <c r="B74" s="1040"/>
      <c r="C74" s="1040"/>
      <c r="D74" s="1040"/>
      <c r="E74" s="1041"/>
      <c r="F74" s="1028"/>
      <c r="G74" s="1028"/>
      <c r="H74" s="1042"/>
      <c r="I74" s="1042"/>
      <c r="J74" s="1042"/>
      <c r="K74" s="1043"/>
      <c r="L74" s="1025" t="s">
        <v>1847</v>
      </c>
      <c r="M74" s="1036">
        <v>5456</v>
      </c>
      <c r="N74" s="1037"/>
      <c r="O74" s="1038"/>
      <c r="P74" s="1038"/>
      <c r="Q74" s="1039"/>
      <c r="R74" s="1038"/>
      <c r="S74" s="1038"/>
      <c r="T74" s="1038">
        <v>5456</v>
      </c>
      <c r="U74" s="1038"/>
      <c r="V74" s="1038"/>
      <c r="W74" s="1038"/>
      <c r="X74" s="1038"/>
      <c r="Y74" s="1038"/>
      <c r="Z74" s="1038"/>
      <c r="AA74" s="1035"/>
      <c r="AB74" s="1025"/>
    </row>
    <row r="75" spans="1:28" ht="30" customHeight="1">
      <c r="A75" s="1121">
        <v>1</v>
      </c>
      <c r="B75" s="1121">
        <v>4</v>
      </c>
      <c r="C75" s="1121">
        <v>7</v>
      </c>
      <c r="D75" s="1121">
        <v>11</v>
      </c>
      <c r="E75" s="1122" t="s">
        <v>1848</v>
      </c>
      <c r="F75" s="1123"/>
      <c r="G75" s="1123"/>
      <c r="H75" s="1123"/>
      <c r="I75" s="1123"/>
      <c r="J75" s="1123"/>
      <c r="K75" s="1123"/>
      <c r="L75" s="1123"/>
      <c r="M75" s="1123"/>
      <c r="N75" s="1124">
        <f>SUM(M76:M80)</f>
        <v>26260</v>
      </c>
      <c r="O75" s="1113">
        <f>SUM(O76:O80)</f>
        <v>0</v>
      </c>
      <c r="P75" s="1113">
        <f t="shared" ref="P75:Z75" si="11">SUM(P76:P80)</f>
        <v>0</v>
      </c>
      <c r="Q75" s="1113">
        <f t="shared" si="11"/>
        <v>5500</v>
      </c>
      <c r="R75" s="1113">
        <f t="shared" si="11"/>
        <v>0</v>
      </c>
      <c r="S75" s="1113">
        <f t="shared" si="11"/>
        <v>9500</v>
      </c>
      <c r="T75" s="1113">
        <f t="shared" si="11"/>
        <v>500</v>
      </c>
      <c r="U75" s="1113">
        <f t="shared" si="11"/>
        <v>0</v>
      </c>
      <c r="V75" s="1113">
        <f t="shared" si="11"/>
        <v>0</v>
      </c>
      <c r="W75" s="1113">
        <f t="shared" si="11"/>
        <v>10000</v>
      </c>
      <c r="X75" s="1113">
        <f t="shared" si="11"/>
        <v>0</v>
      </c>
      <c r="Y75" s="1113">
        <f t="shared" si="11"/>
        <v>260</v>
      </c>
      <c r="Z75" s="1113">
        <f t="shared" si="11"/>
        <v>500</v>
      </c>
      <c r="AA75" s="1113" t="s">
        <v>1900</v>
      </c>
      <c r="AB75" s="1074" t="s">
        <v>1048</v>
      </c>
    </row>
    <row r="76" spans="1:28" ht="42.65" customHeight="1">
      <c r="A76" s="955"/>
      <c r="B76" s="955"/>
      <c r="C76" s="955"/>
      <c r="D76" s="955"/>
      <c r="E76" s="1044" t="s">
        <v>1849</v>
      </c>
      <c r="F76" s="1045" t="s">
        <v>1850</v>
      </c>
      <c r="G76" s="1045" t="s">
        <v>1851</v>
      </c>
      <c r="H76" s="994" t="s">
        <v>1734</v>
      </c>
      <c r="I76" s="994" t="s">
        <v>1734</v>
      </c>
      <c r="J76" s="994" t="s">
        <v>1734</v>
      </c>
      <c r="K76" s="994" t="s">
        <v>1734</v>
      </c>
      <c r="L76" s="1044" t="s">
        <v>1852</v>
      </c>
      <c r="M76" s="1036">
        <f>25*4*20</f>
        <v>2000</v>
      </c>
      <c r="N76" s="1046"/>
      <c r="O76" s="1047"/>
      <c r="P76" s="1036"/>
      <c r="Q76" s="1048">
        <v>500</v>
      </c>
      <c r="R76" s="1047"/>
      <c r="S76" s="1047"/>
      <c r="T76" s="1047">
        <v>500</v>
      </c>
      <c r="U76" s="1047"/>
      <c r="V76" s="1047"/>
      <c r="W76" s="1047">
        <v>500</v>
      </c>
      <c r="X76" s="1047"/>
      <c r="Y76" s="1047"/>
      <c r="Z76" s="1047">
        <v>500</v>
      </c>
      <c r="AA76" s="1047" t="s">
        <v>1831</v>
      </c>
      <c r="AB76" s="973"/>
    </row>
    <row r="77" spans="1:28" ht="114.65" customHeight="1">
      <c r="A77" s="955"/>
      <c r="B77" s="955"/>
      <c r="C77" s="955"/>
      <c r="D77" s="955"/>
      <c r="E77" s="1044" t="s">
        <v>1853</v>
      </c>
      <c r="F77" s="1044" t="s">
        <v>1854</v>
      </c>
      <c r="G77" s="1044" t="s">
        <v>1855</v>
      </c>
      <c r="H77" s="994"/>
      <c r="I77" s="994" t="s">
        <v>1734</v>
      </c>
      <c r="J77" s="994" t="s">
        <v>1734</v>
      </c>
      <c r="K77" s="994"/>
      <c r="L77" s="1014" t="s">
        <v>1856</v>
      </c>
      <c r="M77" s="1036">
        <v>14000</v>
      </c>
      <c r="N77" s="1049"/>
      <c r="O77" s="1047"/>
      <c r="P77" s="1036"/>
      <c r="Q77" s="1048"/>
      <c r="R77" s="1047"/>
      <c r="S77" s="1047">
        <v>7000</v>
      </c>
      <c r="T77" s="1047"/>
      <c r="U77" s="1047"/>
      <c r="V77" s="1047"/>
      <c r="W77" s="1047">
        <v>7000</v>
      </c>
      <c r="X77" s="1047"/>
      <c r="Y77" s="1047"/>
      <c r="Z77" s="1047"/>
      <c r="AA77" s="1047"/>
      <c r="AB77" s="973"/>
    </row>
    <row r="78" spans="1:28">
      <c r="A78" s="955"/>
      <c r="B78" s="955"/>
      <c r="C78" s="955"/>
      <c r="D78" s="955"/>
      <c r="E78" s="1044"/>
      <c r="F78" s="1044"/>
      <c r="G78" s="1044"/>
      <c r="H78" s="994"/>
      <c r="I78" s="994"/>
      <c r="J78" s="994"/>
      <c r="K78" s="994"/>
      <c r="L78" s="1014" t="s">
        <v>1857</v>
      </c>
      <c r="M78" s="1036">
        <v>5000</v>
      </c>
      <c r="N78" s="1049"/>
      <c r="O78" s="1047"/>
      <c r="P78" s="1036"/>
      <c r="Q78" s="1048"/>
      <c r="R78" s="1047"/>
      <c r="S78" s="1047">
        <v>2500</v>
      </c>
      <c r="T78" s="1047"/>
      <c r="U78" s="1047"/>
      <c r="V78" s="1047"/>
      <c r="W78" s="1047">
        <v>2500</v>
      </c>
      <c r="X78" s="1047"/>
      <c r="Y78" s="1047"/>
      <c r="Z78" s="1047"/>
      <c r="AA78" s="1047"/>
      <c r="AB78" s="973"/>
    </row>
    <row r="79" spans="1:28" ht="48">
      <c r="A79" s="955"/>
      <c r="B79" s="955"/>
      <c r="C79" s="955"/>
      <c r="D79" s="955"/>
      <c r="E79" s="1044" t="s">
        <v>1858</v>
      </c>
      <c r="F79" s="1044"/>
      <c r="G79" s="1044"/>
      <c r="H79" s="994"/>
      <c r="I79" s="994"/>
      <c r="J79" s="994"/>
      <c r="K79" s="994" t="s">
        <v>1734</v>
      </c>
      <c r="L79" s="1044"/>
      <c r="M79" s="1036">
        <v>260</v>
      </c>
      <c r="N79" s="1049"/>
      <c r="O79" s="1047"/>
      <c r="P79" s="1036"/>
      <c r="Q79" s="1048"/>
      <c r="R79" s="1047"/>
      <c r="S79" s="1047"/>
      <c r="T79" s="1047"/>
      <c r="U79" s="1047"/>
      <c r="V79" s="1047"/>
      <c r="W79" s="1047"/>
      <c r="X79" s="1047"/>
      <c r="Y79" s="1047">
        <v>260</v>
      </c>
      <c r="Z79" s="1047"/>
      <c r="AA79" s="1047"/>
      <c r="AB79" s="973"/>
    </row>
    <row r="80" spans="1:28" ht="38.4" customHeight="1">
      <c r="A80" s="955"/>
      <c r="B80" s="955"/>
      <c r="C80" s="955"/>
      <c r="D80" s="955"/>
      <c r="E80" s="1044" t="s">
        <v>1859</v>
      </c>
      <c r="F80" s="1044" t="s">
        <v>1860</v>
      </c>
      <c r="G80" s="1044" t="s">
        <v>1855</v>
      </c>
      <c r="H80" s="994" t="s">
        <v>1734</v>
      </c>
      <c r="I80" s="994" t="s">
        <v>1734</v>
      </c>
      <c r="J80" s="994" t="s">
        <v>1734</v>
      </c>
      <c r="K80" s="994" t="s">
        <v>1734</v>
      </c>
      <c r="L80" s="1044" t="s">
        <v>1861</v>
      </c>
      <c r="M80" s="1036">
        <v>5000</v>
      </c>
      <c r="N80" s="1046"/>
      <c r="O80" s="1047"/>
      <c r="P80" s="1036"/>
      <c r="Q80" s="1048">
        <v>5000</v>
      </c>
      <c r="R80" s="1047"/>
      <c r="S80" s="1047"/>
      <c r="T80" s="1047"/>
      <c r="U80" s="1047"/>
      <c r="V80" s="1047"/>
      <c r="W80" s="1047"/>
      <c r="X80" s="1047"/>
      <c r="Y80" s="1047"/>
      <c r="Z80" s="1047"/>
      <c r="AA80" s="1047"/>
      <c r="AB80" s="973"/>
    </row>
    <row r="81" spans="1:28" ht="59.15" customHeight="1">
      <c r="A81" s="1075">
        <v>1</v>
      </c>
      <c r="B81" s="1075">
        <v>3</v>
      </c>
      <c r="C81" s="1075">
        <v>5</v>
      </c>
      <c r="D81" s="1075">
        <v>12</v>
      </c>
      <c r="E81" s="1109" t="s">
        <v>1862</v>
      </c>
      <c r="F81" s="1077"/>
      <c r="G81" s="1077"/>
      <c r="H81" s="1077"/>
      <c r="I81" s="1077"/>
      <c r="J81" s="1077"/>
      <c r="K81" s="1077"/>
      <c r="L81" s="1110"/>
      <c r="M81" s="1106"/>
      <c r="N81" s="1111">
        <v>44640</v>
      </c>
      <c r="O81" s="1106">
        <f>SUM(O82:O84)</f>
        <v>4464</v>
      </c>
      <c r="P81" s="1106">
        <f t="shared" ref="P81:Z81" si="12">SUM(P82:P84)</f>
        <v>4464</v>
      </c>
      <c r="Q81" s="1106">
        <f t="shared" si="12"/>
        <v>4464</v>
      </c>
      <c r="R81" s="1106">
        <f t="shared" si="12"/>
        <v>4464</v>
      </c>
      <c r="S81" s="1106">
        <f t="shared" si="12"/>
        <v>4464</v>
      </c>
      <c r="T81" s="1106">
        <f t="shared" si="12"/>
        <v>4464</v>
      </c>
      <c r="U81" s="1106">
        <f t="shared" si="12"/>
        <v>4464</v>
      </c>
      <c r="V81" s="1106">
        <f t="shared" si="12"/>
        <v>4464</v>
      </c>
      <c r="W81" s="1106">
        <f t="shared" si="12"/>
        <v>4464</v>
      </c>
      <c r="X81" s="1106">
        <f t="shared" si="12"/>
        <v>4464</v>
      </c>
      <c r="Y81" s="1106">
        <f t="shared" si="12"/>
        <v>0</v>
      </c>
      <c r="Z81" s="1106">
        <f t="shared" si="12"/>
        <v>0</v>
      </c>
      <c r="AA81" s="1078" t="s">
        <v>1900</v>
      </c>
      <c r="AB81" s="1074" t="s">
        <v>1048</v>
      </c>
    </row>
    <row r="82" spans="1:28" ht="117.9" customHeight="1">
      <c r="A82" s="955"/>
      <c r="B82" s="955"/>
      <c r="C82" s="955"/>
      <c r="D82" s="955"/>
      <c r="E82" s="1025"/>
      <c r="F82" s="1024" t="s">
        <v>1863</v>
      </c>
      <c r="G82" s="1050" t="s">
        <v>1864</v>
      </c>
      <c r="H82" s="1051" t="s">
        <v>1734</v>
      </c>
      <c r="I82" s="1051" t="s">
        <v>1734</v>
      </c>
      <c r="J82" s="1051" t="s">
        <v>1734</v>
      </c>
      <c r="K82" s="1051" t="s">
        <v>1734</v>
      </c>
      <c r="L82" s="1052" t="s">
        <v>1866</v>
      </c>
      <c r="M82" s="1014">
        <v>19200</v>
      </c>
      <c r="N82" s="1053"/>
      <c r="O82" s="1014">
        <v>1920</v>
      </c>
      <c r="P82" s="1014">
        <v>1920</v>
      </c>
      <c r="Q82" s="1014">
        <v>1920</v>
      </c>
      <c r="R82" s="1014">
        <v>1920</v>
      </c>
      <c r="S82" s="1014">
        <v>1920</v>
      </c>
      <c r="T82" s="1014">
        <v>1920</v>
      </c>
      <c r="U82" s="1014">
        <v>1920</v>
      </c>
      <c r="V82" s="1014">
        <v>1920</v>
      </c>
      <c r="W82" s="1014">
        <v>1920</v>
      </c>
      <c r="X82" s="1014">
        <v>1920</v>
      </c>
      <c r="Y82" s="960"/>
      <c r="Z82" s="960"/>
      <c r="AA82" s="956" t="s">
        <v>1865</v>
      </c>
      <c r="AB82" s="954"/>
    </row>
    <row r="83" spans="1:28" ht="55.85" customHeight="1">
      <c r="A83" s="955"/>
      <c r="B83" s="955"/>
      <c r="C83" s="955"/>
      <c r="D83" s="955"/>
      <c r="E83" s="1025"/>
      <c r="F83" s="1024"/>
      <c r="G83" s="995"/>
      <c r="H83" s="1051"/>
      <c r="I83" s="1051"/>
      <c r="J83" s="1051"/>
      <c r="K83" s="1051"/>
      <c r="L83" s="1052" t="s">
        <v>1867</v>
      </c>
      <c r="M83" s="1014">
        <v>18000</v>
      </c>
      <c r="N83" s="1053"/>
      <c r="O83" s="1014">
        <v>1800</v>
      </c>
      <c r="P83" s="1014">
        <v>1800</v>
      </c>
      <c r="Q83" s="1014">
        <v>1800</v>
      </c>
      <c r="R83" s="1014">
        <v>1800</v>
      </c>
      <c r="S83" s="1014">
        <v>1800</v>
      </c>
      <c r="T83" s="1014">
        <v>1800</v>
      </c>
      <c r="U83" s="1014">
        <v>1800</v>
      </c>
      <c r="V83" s="1014">
        <v>1800</v>
      </c>
      <c r="W83" s="1014">
        <v>1800</v>
      </c>
      <c r="X83" s="1014">
        <v>1800</v>
      </c>
      <c r="Y83" s="960"/>
      <c r="Z83" s="960"/>
      <c r="AA83" s="956"/>
      <c r="AB83" s="954"/>
    </row>
    <row r="84" spans="1:28" ht="37.200000000000003" customHeight="1">
      <c r="A84" s="1054"/>
      <c r="B84" s="1054"/>
      <c r="C84" s="1054"/>
      <c r="D84" s="1054"/>
      <c r="E84" s="1025"/>
      <c r="F84" s="1024"/>
      <c r="G84" s="995"/>
      <c r="H84" s="1051"/>
      <c r="I84" s="1051"/>
      <c r="J84" s="1051"/>
      <c r="K84" s="1051"/>
      <c r="L84" s="1052" t="s">
        <v>1868</v>
      </c>
      <c r="M84" s="1014">
        <v>7440</v>
      </c>
      <c r="N84" s="1053"/>
      <c r="O84" s="1014">
        <v>744</v>
      </c>
      <c r="P84" s="1014">
        <v>744</v>
      </c>
      <c r="Q84" s="1014">
        <v>744</v>
      </c>
      <c r="R84" s="1014">
        <v>744</v>
      </c>
      <c r="S84" s="1014">
        <v>744</v>
      </c>
      <c r="T84" s="1014">
        <v>744</v>
      </c>
      <c r="U84" s="1014">
        <v>744</v>
      </c>
      <c r="V84" s="1014">
        <v>744</v>
      </c>
      <c r="W84" s="1014">
        <v>744</v>
      </c>
      <c r="X84" s="1014">
        <v>744</v>
      </c>
      <c r="Y84" s="1014"/>
      <c r="Z84" s="1014"/>
      <c r="AA84" s="956"/>
      <c r="AB84" s="954"/>
    </row>
    <row r="85" spans="1:28" ht="51.9" customHeight="1">
      <c r="A85" s="1075">
        <v>1</v>
      </c>
      <c r="B85" s="1075">
        <v>3</v>
      </c>
      <c r="C85" s="1075">
        <v>5</v>
      </c>
      <c r="D85" s="1075">
        <v>13</v>
      </c>
      <c r="E85" s="1113" t="s">
        <v>1869</v>
      </c>
      <c r="F85" s="1077"/>
      <c r="G85" s="1077"/>
      <c r="H85" s="1077"/>
      <c r="I85" s="1077"/>
      <c r="J85" s="1077"/>
      <c r="K85" s="1077"/>
      <c r="L85" s="1110"/>
      <c r="M85" s="1114"/>
      <c r="N85" s="1115">
        <v>33000</v>
      </c>
      <c r="O85" s="1112">
        <f>SUM(O86:O87)</f>
        <v>0</v>
      </c>
      <c r="P85" s="1112">
        <f t="shared" ref="P85:Z85" si="13">SUM(P86:P87)</f>
        <v>0</v>
      </c>
      <c r="Q85" s="1112">
        <f t="shared" si="13"/>
        <v>0</v>
      </c>
      <c r="R85" s="1112">
        <f t="shared" si="13"/>
        <v>0</v>
      </c>
      <c r="S85" s="1112">
        <f t="shared" si="13"/>
        <v>15000</v>
      </c>
      <c r="T85" s="1112">
        <f t="shared" si="13"/>
        <v>0</v>
      </c>
      <c r="U85" s="1112">
        <f t="shared" si="13"/>
        <v>0</v>
      </c>
      <c r="V85" s="1112">
        <f t="shared" si="13"/>
        <v>18000</v>
      </c>
      <c r="W85" s="1112">
        <f t="shared" si="13"/>
        <v>0</v>
      </c>
      <c r="X85" s="1112">
        <f t="shared" si="13"/>
        <v>0</v>
      </c>
      <c r="Y85" s="1112">
        <f t="shared" si="13"/>
        <v>0</v>
      </c>
      <c r="Z85" s="1112">
        <f t="shared" si="13"/>
        <v>0</v>
      </c>
      <c r="AA85" s="1078" t="s">
        <v>1900</v>
      </c>
      <c r="AB85" s="1074" t="s">
        <v>1048</v>
      </c>
    </row>
    <row r="86" spans="1:28" ht="92.15" customHeight="1">
      <c r="A86" s="1059"/>
      <c r="B86" s="1059"/>
      <c r="C86" s="1059"/>
      <c r="D86" s="1059"/>
      <c r="E86" s="1024"/>
      <c r="F86" s="1052" t="s">
        <v>1870</v>
      </c>
      <c r="G86" s="1052" t="s">
        <v>1871</v>
      </c>
      <c r="H86" s="1051"/>
      <c r="I86" s="1051" t="s">
        <v>1734</v>
      </c>
      <c r="J86" s="1051" t="s">
        <v>1734</v>
      </c>
      <c r="K86" s="1052"/>
      <c r="L86" s="1052" t="s">
        <v>1872</v>
      </c>
      <c r="M86" s="1056">
        <v>15000</v>
      </c>
      <c r="N86" s="1034"/>
      <c r="O86" s="1055"/>
      <c r="P86" s="973"/>
      <c r="Q86" s="1057"/>
      <c r="R86" s="1056"/>
      <c r="S86" s="1058">
        <v>15000</v>
      </c>
      <c r="T86" s="1055"/>
      <c r="U86" s="1055"/>
      <c r="V86" s="1058"/>
      <c r="W86" s="1055"/>
      <c r="X86" s="1055"/>
      <c r="Y86" s="1055"/>
      <c r="Z86" s="1055"/>
      <c r="AA86" s="956" t="s">
        <v>1865</v>
      </c>
      <c r="AB86" s="954"/>
    </row>
    <row r="87" spans="1:28" ht="36.65" customHeight="1">
      <c r="A87" s="1059"/>
      <c r="B87" s="1059"/>
      <c r="C87" s="1059"/>
      <c r="D87" s="1059"/>
      <c r="E87" s="1024"/>
      <c r="F87" s="1052"/>
      <c r="G87" s="1052"/>
      <c r="H87" s="1051"/>
      <c r="I87" s="1052"/>
      <c r="J87" s="1051"/>
      <c r="K87" s="1052"/>
      <c r="L87" s="1052" t="s">
        <v>1873</v>
      </c>
      <c r="M87" s="1056">
        <v>18000</v>
      </c>
      <c r="N87" s="1034"/>
      <c r="O87" s="1055"/>
      <c r="P87" s="973"/>
      <c r="Q87" s="1057"/>
      <c r="R87" s="1056"/>
      <c r="S87" s="1058"/>
      <c r="T87" s="1055"/>
      <c r="U87" s="1055"/>
      <c r="V87" s="1058">
        <v>18000</v>
      </c>
      <c r="W87" s="1055"/>
      <c r="X87" s="1055"/>
      <c r="Y87" s="1055"/>
      <c r="Z87" s="1055"/>
      <c r="AA87" s="956"/>
      <c r="AB87" s="954"/>
    </row>
    <row r="88" spans="1:28" ht="54.45" customHeight="1">
      <c r="A88" s="1075">
        <v>1</v>
      </c>
      <c r="B88" s="1075">
        <v>3</v>
      </c>
      <c r="C88" s="1075">
        <v>5</v>
      </c>
      <c r="D88" s="1075">
        <v>14</v>
      </c>
      <c r="E88" s="1116" t="s">
        <v>1874</v>
      </c>
      <c r="F88" s="1117"/>
      <c r="G88" s="1117"/>
      <c r="H88" s="1117"/>
      <c r="I88" s="1117"/>
      <c r="J88" s="1117"/>
      <c r="K88" s="1117"/>
      <c r="L88" s="1117"/>
      <c r="M88" s="1117"/>
      <c r="N88" s="1118">
        <v>72912</v>
      </c>
      <c r="O88" s="1117">
        <f>SUM(O89:O101)</f>
        <v>0</v>
      </c>
      <c r="P88" s="1117">
        <f t="shared" ref="P88:Z88" si="14">SUM(P89:P101)</f>
        <v>0</v>
      </c>
      <c r="Q88" s="1117">
        <f t="shared" si="14"/>
        <v>8050</v>
      </c>
      <c r="R88" s="1117">
        <f t="shared" si="14"/>
        <v>0</v>
      </c>
      <c r="S88" s="1117">
        <f t="shared" si="14"/>
        <v>4020</v>
      </c>
      <c r="T88" s="1117">
        <f t="shared" si="14"/>
        <v>21476</v>
      </c>
      <c r="U88" s="1117">
        <f t="shared" si="14"/>
        <v>0</v>
      </c>
      <c r="V88" s="1117">
        <f t="shared" si="14"/>
        <v>4020</v>
      </c>
      <c r="W88" s="1117">
        <f t="shared" si="14"/>
        <v>23450</v>
      </c>
      <c r="X88" s="1117">
        <f t="shared" si="14"/>
        <v>0</v>
      </c>
      <c r="Y88" s="1117">
        <f t="shared" si="14"/>
        <v>11896</v>
      </c>
      <c r="Z88" s="1117">
        <f t="shared" si="14"/>
        <v>0</v>
      </c>
      <c r="AA88" s="1119" t="s">
        <v>1900</v>
      </c>
      <c r="AB88" s="1074" t="s">
        <v>1048</v>
      </c>
    </row>
    <row r="89" spans="1:28" ht="84" customHeight="1">
      <c r="A89" s="955"/>
      <c r="B89" s="955"/>
      <c r="C89" s="955"/>
      <c r="D89" s="955"/>
      <c r="E89" s="1033" t="s">
        <v>1876</v>
      </c>
      <c r="F89" s="1033" t="s">
        <v>1877</v>
      </c>
      <c r="G89" s="1061" t="s">
        <v>1878</v>
      </c>
      <c r="H89" s="1033"/>
      <c r="I89" s="1051" t="s">
        <v>1734</v>
      </c>
      <c r="J89" s="1051" t="s">
        <v>1734</v>
      </c>
      <c r="K89" s="1033"/>
      <c r="L89" s="1033" t="s">
        <v>1879</v>
      </c>
      <c r="M89" s="1033">
        <v>1600</v>
      </c>
      <c r="N89" s="1060"/>
      <c r="O89" s="1033"/>
      <c r="P89" s="1033"/>
      <c r="Q89" s="1062"/>
      <c r="R89" s="1033"/>
      <c r="S89" s="1033"/>
      <c r="T89" s="1033">
        <v>800</v>
      </c>
      <c r="U89" s="1033"/>
      <c r="V89" s="1033"/>
      <c r="W89" s="1033">
        <v>800</v>
      </c>
      <c r="X89" s="1033"/>
      <c r="Y89" s="1033"/>
      <c r="Z89" s="1033"/>
      <c r="AA89" s="1061" t="s">
        <v>1875</v>
      </c>
      <c r="AB89" s="991"/>
    </row>
    <row r="90" spans="1:28" ht="39.65" customHeight="1">
      <c r="A90" s="955"/>
      <c r="B90" s="955"/>
      <c r="C90" s="955"/>
      <c r="D90" s="955"/>
      <c r="E90" s="1033"/>
      <c r="F90" s="1033"/>
      <c r="G90" s="1033"/>
      <c r="H90" s="1033"/>
      <c r="I90" s="1033"/>
      <c r="J90" s="1033"/>
      <c r="K90" s="1033"/>
      <c r="L90" s="1033" t="s">
        <v>1880</v>
      </c>
      <c r="M90" s="1033">
        <v>22000</v>
      </c>
      <c r="N90" s="1060"/>
      <c r="O90" s="1033"/>
      <c r="P90" s="1033"/>
      <c r="Q90" s="1062"/>
      <c r="R90" s="1033"/>
      <c r="S90" s="1033"/>
      <c r="T90" s="1033">
        <v>11000</v>
      </c>
      <c r="U90" s="1033"/>
      <c r="V90" s="1033"/>
      <c r="W90" s="1033">
        <v>11000</v>
      </c>
      <c r="X90" s="1033"/>
      <c r="Y90" s="1033"/>
      <c r="Z90" s="1033"/>
      <c r="AA90" s="1061"/>
      <c r="AB90" s="991"/>
    </row>
    <row r="91" spans="1:28" ht="48">
      <c r="A91" s="955"/>
      <c r="B91" s="955"/>
      <c r="C91" s="955"/>
      <c r="D91" s="955"/>
      <c r="E91" s="1033"/>
      <c r="F91" s="1033"/>
      <c r="G91" s="1033"/>
      <c r="H91" s="1033"/>
      <c r="I91" s="1033"/>
      <c r="J91" s="1033"/>
      <c r="K91" s="1033"/>
      <c r="L91" s="1033" t="s">
        <v>1881</v>
      </c>
      <c r="M91" s="1033">
        <v>2000</v>
      </c>
      <c r="N91" s="1060"/>
      <c r="O91" s="1033"/>
      <c r="P91" s="1033"/>
      <c r="Q91" s="1062"/>
      <c r="R91" s="1033"/>
      <c r="S91" s="1033"/>
      <c r="T91" s="1033">
        <v>1000</v>
      </c>
      <c r="U91" s="1033"/>
      <c r="V91" s="1033"/>
      <c r="W91" s="1033">
        <v>1000</v>
      </c>
      <c r="X91" s="1033"/>
      <c r="Y91" s="1033"/>
      <c r="Z91" s="1033"/>
      <c r="AA91" s="1061"/>
      <c r="AB91" s="991"/>
    </row>
    <row r="92" spans="1:28" ht="59.4" customHeight="1">
      <c r="A92" s="955"/>
      <c r="B92" s="955"/>
      <c r="C92" s="955"/>
      <c r="D92" s="955"/>
      <c r="E92" s="1033"/>
      <c r="F92" s="1033"/>
      <c r="G92" s="1033"/>
      <c r="H92" s="1033"/>
      <c r="I92" s="1033"/>
      <c r="J92" s="1033"/>
      <c r="K92" s="1033"/>
      <c r="L92" s="1033" t="s">
        <v>1882</v>
      </c>
      <c r="M92" s="1033">
        <v>1600</v>
      </c>
      <c r="N92" s="1060"/>
      <c r="O92" s="1033"/>
      <c r="P92" s="1033"/>
      <c r="Q92" s="1062"/>
      <c r="R92" s="1033"/>
      <c r="S92" s="1033"/>
      <c r="T92" s="1033">
        <v>800</v>
      </c>
      <c r="U92" s="1033"/>
      <c r="V92" s="1033"/>
      <c r="W92" s="1033">
        <v>800</v>
      </c>
      <c r="X92" s="1033"/>
      <c r="Y92" s="1033"/>
      <c r="Z92" s="1033"/>
      <c r="AA92" s="1061"/>
      <c r="AB92" s="991"/>
    </row>
    <row r="93" spans="1:28" ht="68.400000000000006" customHeight="1">
      <c r="A93" s="1054"/>
      <c r="B93" s="1054"/>
      <c r="C93" s="1054"/>
      <c r="D93" s="1054"/>
      <c r="E93" s="1044" t="s">
        <v>1883</v>
      </c>
      <c r="F93" s="1033" t="s">
        <v>1884</v>
      </c>
      <c r="G93" s="1033" t="s">
        <v>1885</v>
      </c>
      <c r="H93" s="1033"/>
      <c r="I93" s="1051" t="s">
        <v>1734</v>
      </c>
      <c r="J93" s="1051" t="s">
        <v>1734</v>
      </c>
      <c r="K93" s="1051" t="s">
        <v>1734</v>
      </c>
      <c r="L93" s="1063" t="s">
        <v>1886</v>
      </c>
      <c r="M93" s="1064">
        <v>2400</v>
      </c>
      <c r="N93" s="1060"/>
      <c r="O93" s="1064"/>
      <c r="P93" s="1064"/>
      <c r="Q93" s="1065"/>
      <c r="R93" s="1064"/>
      <c r="S93" s="1064">
        <v>800</v>
      </c>
      <c r="T93" s="1064"/>
      <c r="U93" s="1064"/>
      <c r="V93" s="1064">
        <v>800</v>
      </c>
      <c r="W93" s="1064"/>
      <c r="X93" s="1064"/>
      <c r="Y93" s="1064">
        <v>800</v>
      </c>
      <c r="Z93" s="1064"/>
      <c r="AA93" s="1033"/>
      <c r="AB93" s="991"/>
    </row>
    <row r="94" spans="1:28" ht="55.85" customHeight="1">
      <c r="A94" s="1054"/>
      <c r="B94" s="1054"/>
      <c r="C94" s="1054"/>
      <c r="D94" s="1054"/>
      <c r="E94" s="1044"/>
      <c r="F94" s="1033"/>
      <c r="G94" s="1033"/>
      <c r="H94" s="1033"/>
      <c r="I94" s="1033"/>
      <c r="J94" s="1033"/>
      <c r="K94" s="1033"/>
      <c r="L94" s="1063" t="s">
        <v>1887</v>
      </c>
      <c r="M94" s="1064">
        <v>7500</v>
      </c>
      <c r="N94" s="1060"/>
      <c r="O94" s="1064"/>
      <c r="P94" s="1064"/>
      <c r="Q94" s="1065"/>
      <c r="R94" s="1064"/>
      <c r="S94" s="1064">
        <v>2500</v>
      </c>
      <c r="T94" s="1064"/>
      <c r="U94" s="1064"/>
      <c r="V94" s="1064">
        <v>2500</v>
      </c>
      <c r="W94" s="1064"/>
      <c r="X94" s="1064"/>
      <c r="Y94" s="1064">
        <v>2500</v>
      </c>
      <c r="Z94" s="1064"/>
      <c r="AA94" s="1033"/>
      <c r="AB94" s="991"/>
    </row>
    <row r="95" spans="1:28" ht="81.650000000000006" customHeight="1">
      <c r="A95" s="1054"/>
      <c r="B95" s="1054"/>
      <c r="C95" s="1054"/>
      <c r="D95" s="1054"/>
      <c r="E95" s="1044"/>
      <c r="F95" s="1033"/>
      <c r="G95" s="1033"/>
      <c r="H95" s="1033"/>
      <c r="I95" s="1033"/>
      <c r="J95" s="1033"/>
      <c r="K95" s="1033"/>
      <c r="L95" s="1063" t="s">
        <v>1888</v>
      </c>
      <c r="M95" s="1033">
        <v>1200</v>
      </c>
      <c r="N95" s="1060"/>
      <c r="O95" s="1033"/>
      <c r="P95" s="1033"/>
      <c r="Q95" s="1062"/>
      <c r="R95" s="1033"/>
      <c r="S95" s="1033">
        <v>400</v>
      </c>
      <c r="T95" s="1033"/>
      <c r="U95" s="1033"/>
      <c r="V95" s="1033">
        <v>400</v>
      </c>
      <c r="W95" s="1033"/>
      <c r="X95" s="1033"/>
      <c r="Y95" s="1033">
        <v>400</v>
      </c>
      <c r="Z95" s="1033"/>
      <c r="AA95" s="1033"/>
      <c r="AB95" s="991"/>
    </row>
    <row r="96" spans="1:28" ht="53.4" customHeight="1">
      <c r="A96" s="1054"/>
      <c r="B96" s="1054"/>
      <c r="C96" s="1054"/>
      <c r="D96" s="1054"/>
      <c r="E96" s="1044"/>
      <c r="F96" s="1033"/>
      <c r="G96" s="1033"/>
      <c r="H96" s="1033"/>
      <c r="I96" s="1033"/>
      <c r="J96" s="1033"/>
      <c r="K96" s="1033"/>
      <c r="L96" s="1063" t="s">
        <v>1889</v>
      </c>
      <c r="M96" s="1033">
        <v>960</v>
      </c>
      <c r="N96" s="1060"/>
      <c r="O96" s="1033"/>
      <c r="P96" s="1033"/>
      <c r="Q96" s="1062"/>
      <c r="R96" s="1033"/>
      <c r="S96" s="1033">
        <v>320</v>
      </c>
      <c r="T96" s="1033"/>
      <c r="U96" s="1033"/>
      <c r="V96" s="1033">
        <v>320</v>
      </c>
      <c r="W96" s="1033"/>
      <c r="X96" s="1033"/>
      <c r="Y96" s="1033">
        <v>320</v>
      </c>
      <c r="Z96" s="1033"/>
      <c r="AA96" s="1033"/>
      <c r="AB96" s="991"/>
    </row>
    <row r="97" spans="1:28" ht="85.2" customHeight="1">
      <c r="A97" s="955"/>
      <c r="B97" s="955"/>
      <c r="C97" s="955"/>
      <c r="D97" s="955"/>
      <c r="E97" s="1025" t="s">
        <v>1890</v>
      </c>
      <c r="F97" s="1025" t="s">
        <v>1891</v>
      </c>
      <c r="G97" s="1025" t="s">
        <v>1892</v>
      </c>
      <c r="H97" s="1051" t="s">
        <v>1734</v>
      </c>
      <c r="I97" s="1051" t="s">
        <v>1734</v>
      </c>
      <c r="J97" s="1051" t="s">
        <v>1734</v>
      </c>
      <c r="K97" s="1051" t="s">
        <v>1734</v>
      </c>
      <c r="L97" s="1033" t="s">
        <v>1893</v>
      </c>
      <c r="M97" s="1047">
        <v>9800</v>
      </c>
      <c r="N97" s="1046"/>
      <c r="O97" s="1038"/>
      <c r="P97" s="1038"/>
      <c r="Q97" s="1039">
        <v>4900</v>
      </c>
      <c r="R97" s="1038"/>
      <c r="S97" s="1066"/>
      <c r="T97" s="1038"/>
      <c r="U97" s="1038"/>
      <c r="V97" s="1066"/>
      <c r="W97" s="1038">
        <v>4900</v>
      </c>
      <c r="X97" s="1038"/>
      <c r="Y97" s="1038"/>
      <c r="Z97" s="1038"/>
      <c r="AA97" s="1038"/>
      <c r="AB97" s="991"/>
    </row>
    <row r="98" spans="1:28" ht="45.65" customHeight="1">
      <c r="A98" s="955"/>
      <c r="B98" s="955"/>
      <c r="C98" s="955"/>
      <c r="D98" s="955"/>
      <c r="E98" s="973"/>
      <c r="F98" s="973"/>
      <c r="G98" s="973"/>
      <c r="H98" s="973"/>
      <c r="I98" s="973"/>
      <c r="J98" s="973"/>
      <c r="K98" s="973"/>
      <c r="L98" s="1067" t="s">
        <v>1894</v>
      </c>
      <c r="M98" s="973">
        <v>3500</v>
      </c>
      <c r="N98" s="1068"/>
      <c r="O98" s="973"/>
      <c r="P98" s="973"/>
      <c r="Q98" s="1069">
        <v>1750</v>
      </c>
      <c r="R98" s="973"/>
      <c r="S98" s="973"/>
      <c r="T98" s="973"/>
      <c r="U98" s="973"/>
      <c r="V98" s="973"/>
      <c r="W98" s="1069">
        <v>1750</v>
      </c>
      <c r="X98" s="973"/>
      <c r="Y98" s="973"/>
      <c r="Z98" s="973"/>
      <c r="AA98" s="972"/>
      <c r="AB98" s="973"/>
    </row>
    <row r="99" spans="1:28" ht="45" customHeight="1">
      <c r="A99" s="955"/>
      <c r="B99" s="955"/>
      <c r="C99" s="955"/>
      <c r="D99" s="955"/>
      <c r="E99" s="973"/>
      <c r="F99" s="973"/>
      <c r="G99" s="973"/>
      <c r="H99" s="973"/>
      <c r="I99" s="973"/>
      <c r="J99" s="973"/>
      <c r="K99" s="973"/>
      <c r="L99" s="1067" t="s">
        <v>1895</v>
      </c>
      <c r="M99" s="972">
        <v>2800</v>
      </c>
      <c r="N99" s="1068"/>
      <c r="P99" s="973"/>
      <c r="Q99" s="1069">
        <v>1400</v>
      </c>
      <c r="R99" s="973"/>
      <c r="S99" s="973"/>
      <c r="T99" s="973"/>
      <c r="U99" s="973"/>
      <c r="V99" s="973"/>
      <c r="W99" s="1069">
        <v>1400</v>
      </c>
      <c r="X99" s="973"/>
      <c r="Y99" s="973"/>
      <c r="Z99" s="973"/>
      <c r="AA99" s="972"/>
      <c r="AB99" s="973"/>
    </row>
    <row r="100" spans="1:28" ht="63" customHeight="1">
      <c r="A100" s="955"/>
      <c r="B100" s="955"/>
      <c r="C100" s="955"/>
      <c r="D100" s="955"/>
      <c r="E100" s="973"/>
      <c r="F100" s="973"/>
      <c r="G100" s="973"/>
      <c r="H100" s="973"/>
      <c r="I100" s="973"/>
      <c r="J100" s="973"/>
      <c r="K100" s="973"/>
      <c r="L100" s="1067" t="s">
        <v>1896</v>
      </c>
      <c r="M100" s="972">
        <v>5400</v>
      </c>
      <c r="N100" s="1068"/>
      <c r="O100" s="973"/>
      <c r="P100" s="973"/>
      <c r="Q100" s="1048"/>
      <c r="R100" s="973"/>
      <c r="S100" s="973"/>
      <c r="T100" s="973">
        <v>1800</v>
      </c>
      <c r="U100" s="973"/>
      <c r="V100" s="973"/>
      <c r="W100" s="973">
        <v>1800</v>
      </c>
      <c r="X100" s="973"/>
      <c r="Y100" s="973">
        <v>1800</v>
      </c>
      <c r="Z100" s="973"/>
      <c r="AA100" s="973"/>
      <c r="AB100" s="973"/>
    </row>
    <row r="101" spans="1:28" ht="64.2" customHeight="1">
      <c r="A101" s="955"/>
      <c r="B101" s="955"/>
      <c r="C101" s="955"/>
      <c r="D101" s="955"/>
      <c r="E101" s="973"/>
      <c r="F101" s="973"/>
      <c r="G101" s="973"/>
      <c r="H101" s="973"/>
      <c r="I101" s="973"/>
      <c r="J101" s="973"/>
      <c r="K101" s="973"/>
      <c r="L101" s="1067" t="s">
        <v>1897</v>
      </c>
      <c r="M101" s="972">
        <v>12152</v>
      </c>
      <c r="N101" s="1068"/>
      <c r="O101" s="973"/>
      <c r="P101" s="973"/>
      <c r="Q101" s="955"/>
      <c r="R101" s="973"/>
      <c r="S101" s="973"/>
      <c r="T101" s="973">
        <v>6076</v>
      </c>
      <c r="U101" s="973"/>
      <c r="V101" s="973"/>
      <c r="W101" s="1047"/>
      <c r="X101" s="973"/>
      <c r="Y101" s="973">
        <v>6076</v>
      </c>
      <c r="Z101" s="973"/>
      <c r="AA101" s="973"/>
      <c r="AB101" s="973"/>
    </row>
    <row r="102" spans="1:28">
      <c r="M102" s="1071"/>
      <c r="Q102" s="1072"/>
      <c r="S102" s="1071"/>
      <c r="T102" s="1073"/>
      <c r="V102" s="1071"/>
      <c r="W102" s="1073"/>
      <c r="Y102" s="1071"/>
      <c r="AA102" s="1071"/>
    </row>
    <row r="103" spans="1:28">
      <c r="M103" s="1071"/>
      <c r="Y103" s="1071"/>
    </row>
    <row r="129" spans="12:12">
      <c r="L129" s="1070">
        <v>3331388319</v>
      </c>
    </row>
  </sheetData>
  <mergeCells count="25">
    <mergeCell ref="J72:J73"/>
    <mergeCell ref="K72:K73"/>
    <mergeCell ref="F12:G12"/>
    <mergeCell ref="O9:Q9"/>
    <mergeCell ref="R9:T9"/>
    <mergeCell ref="E72:E73"/>
    <mergeCell ref="F72:F73"/>
    <mergeCell ref="G72:G73"/>
    <mergeCell ref="H72:H73"/>
    <mergeCell ref="I72:I73"/>
    <mergeCell ref="AA8:AA10"/>
    <mergeCell ref="AB8:AB10"/>
    <mergeCell ref="A1:AB1"/>
    <mergeCell ref="G2:L2"/>
    <mergeCell ref="A8:C9"/>
    <mergeCell ref="D8:D10"/>
    <mergeCell ref="E8:E10"/>
    <mergeCell ref="F8:F10"/>
    <mergeCell ref="G8:G10"/>
    <mergeCell ref="U9:W9"/>
    <mergeCell ref="X9:Z9"/>
    <mergeCell ref="H8:K9"/>
    <mergeCell ref="L8:M9"/>
    <mergeCell ref="N8:N10"/>
    <mergeCell ref="O8:Z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68E24-E839-4174-B6D7-BFF9C303CFF4}">
  <sheetPr>
    <tabColor rgb="FF92D050"/>
  </sheetPr>
  <dimension ref="A1:AG84"/>
  <sheetViews>
    <sheetView topLeftCell="A65" zoomScale="80" zoomScaleNormal="80" workbookViewId="0">
      <selection activeCell="G8" sqref="G8:R8"/>
    </sheetView>
  </sheetViews>
  <sheetFormatPr defaultColWidth="4.35546875" defaultRowHeight="12.45"/>
  <cols>
    <col min="1" max="1" width="4.35546875" style="132"/>
    <col min="2" max="2" width="6.85546875" style="132" customWidth="1"/>
    <col min="3" max="3" width="8" style="132" customWidth="1"/>
    <col min="4" max="4" width="5.2109375" style="132" customWidth="1"/>
    <col min="5" max="5" width="20.640625" style="132" customWidth="1"/>
    <col min="6" max="6" width="17.7109375" style="132" customWidth="1"/>
    <col min="7" max="7" width="11.85546875" style="132" customWidth="1"/>
    <col min="8" max="8" width="3.85546875" style="132" customWidth="1"/>
    <col min="9" max="9" width="4.2109375" style="132" customWidth="1"/>
    <col min="10" max="10" width="4.140625" style="132" customWidth="1"/>
    <col min="11" max="11" width="4" style="132" customWidth="1"/>
    <col min="12" max="12" width="29.5" style="132" customWidth="1"/>
    <col min="13" max="13" width="14.640625" style="132" customWidth="1"/>
    <col min="14" max="14" width="12.2109375" style="132" customWidth="1"/>
    <col min="15" max="15" width="11.35546875" style="132" customWidth="1"/>
    <col min="16" max="17" width="8.7109375" style="132" customWidth="1"/>
    <col min="18" max="18" width="12" style="132" customWidth="1"/>
    <col min="19" max="19" width="11.2109375" style="132" customWidth="1"/>
    <col min="20" max="21" width="12.140625" style="132" customWidth="1"/>
    <col min="22" max="22" width="10.7109375" style="132" customWidth="1"/>
    <col min="23" max="23" width="11.140625" style="132" customWidth="1"/>
    <col min="24" max="24" width="11.640625" style="132" customWidth="1"/>
    <col min="25" max="25" width="11.140625" style="132" customWidth="1"/>
    <col min="26" max="26" width="10.85546875" style="132" customWidth="1"/>
    <col min="27" max="27" width="10.640625" style="132" customWidth="1"/>
    <col min="28" max="28" width="14.2109375" style="132" customWidth="1"/>
    <col min="29" max="29" width="7.140625" style="132" customWidth="1"/>
    <col min="30" max="30" width="11.140625" style="132" customWidth="1"/>
    <col min="31" max="255" width="9" style="132" customWidth="1"/>
    <col min="256" max="257" width="4.35546875" style="132"/>
    <col min="258" max="258" width="6.85546875" style="132" customWidth="1"/>
    <col min="259" max="259" width="8" style="132" customWidth="1"/>
    <col min="260" max="260" width="5.2109375" style="132" customWidth="1"/>
    <col min="261" max="261" width="20.640625" style="132" customWidth="1"/>
    <col min="262" max="262" width="17.7109375" style="132" customWidth="1"/>
    <col min="263" max="263" width="11.85546875" style="132" customWidth="1"/>
    <col min="264" max="264" width="3.85546875" style="132" customWidth="1"/>
    <col min="265" max="265" width="4.2109375" style="132" customWidth="1"/>
    <col min="266" max="266" width="4.140625" style="132" customWidth="1"/>
    <col min="267" max="267" width="4" style="132" customWidth="1"/>
    <col min="268" max="268" width="29.5" style="132" customWidth="1"/>
    <col min="269" max="269" width="14.640625" style="132" customWidth="1"/>
    <col min="270" max="270" width="12.2109375" style="132" customWidth="1"/>
    <col min="271" max="271" width="11.35546875" style="132" customWidth="1"/>
    <col min="272" max="273" width="8.7109375" style="132" customWidth="1"/>
    <col min="274" max="274" width="12" style="132" customWidth="1"/>
    <col min="275" max="275" width="11.2109375" style="132" customWidth="1"/>
    <col min="276" max="277" width="12.140625" style="132" customWidth="1"/>
    <col min="278" max="278" width="10.7109375" style="132" customWidth="1"/>
    <col min="279" max="279" width="11.140625" style="132" customWidth="1"/>
    <col min="280" max="280" width="11.640625" style="132" customWidth="1"/>
    <col min="281" max="281" width="11.140625" style="132" customWidth="1"/>
    <col min="282" max="282" width="10.85546875" style="132" customWidth="1"/>
    <col min="283" max="283" width="10.640625" style="132" customWidth="1"/>
    <col min="284" max="285" width="7.140625" style="132" customWidth="1"/>
    <col min="286" max="511" width="9" style="132" customWidth="1"/>
    <col min="512" max="513" width="4.35546875" style="132"/>
    <col min="514" max="514" width="6.85546875" style="132" customWidth="1"/>
    <col min="515" max="515" width="8" style="132" customWidth="1"/>
    <col min="516" max="516" width="5.2109375" style="132" customWidth="1"/>
    <col min="517" max="517" width="20.640625" style="132" customWidth="1"/>
    <col min="518" max="518" width="17.7109375" style="132" customWidth="1"/>
    <col min="519" max="519" width="11.85546875" style="132" customWidth="1"/>
    <col min="520" max="520" width="3.85546875" style="132" customWidth="1"/>
    <col min="521" max="521" width="4.2109375" style="132" customWidth="1"/>
    <col min="522" max="522" width="4.140625" style="132" customWidth="1"/>
    <col min="523" max="523" width="4" style="132" customWidth="1"/>
    <col min="524" max="524" width="29.5" style="132" customWidth="1"/>
    <col min="525" max="525" width="14.640625" style="132" customWidth="1"/>
    <col min="526" max="526" width="12.2109375" style="132" customWidth="1"/>
    <col min="527" max="527" width="11.35546875" style="132" customWidth="1"/>
    <col min="528" max="529" width="8.7109375" style="132" customWidth="1"/>
    <col min="530" max="530" width="12" style="132" customWidth="1"/>
    <col min="531" max="531" width="11.2109375" style="132" customWidth="1"/>
    <col min="532" max="533" width="12.140625" style="132" customWidth="1"/>
    <col min="534" max="534" width="10.7109375" style="132" customWidth="1"/>
    <col min="535" max="535" width="11.140625" style="132" customWidth="1"/>
    <col min="536" max="536" width="11.640625" style="132" customWidth="1"/>
    <col min="537" max="537" width="11.140625" style="132" customWidth="1"/>
    <col min="538" max="538" width="10.85546875" style="132" customWidth="1"/>
    <col min="539" max="539" width="10.640625" style="132" customWidth="1"/>
    <col min="540" max="541" width="7.140625" style="132" customWidth="1"/>
    <col min="542" max="767" width="9" style="132" customWidth="1"/>
    <col min="768" max="769" width="4.35546875" style="132"/>
    <col min="770" max="770" width="6.85546875" style="132" customWidth="1"/>
    <col min="771" max="771" width="8" style="132" customWidth="1"/>
    <col min="772" max="772" width="5.2109375" style="132" customWidth="1"/>
    <col min="773" max="773" width="20.640625" style="132" customWidth="1"/>
    <col min="774" max="774" width="17.7109375" style="132" customWidth="1"/>
    <col min="775" max="775" width="11.85546875" style="132" customWidth="1"/>
    <col min="776" max="776" width="3.85546875" style="132" customWidth="1"/>
    <col min="777" max="777" width="4.2109375" style="132" customWidth="1"/>
    <col min="778" max="778" width="4.140625" style="132" customWidth="1"/>
    <col min="779" max="779" width="4" style="132" customWidth="1"/>
    <col min="780" max="780" width="29.5" style="132" customWidth="1"/>
    <col min="781" max="781" width="14.640625" style="132" customWidth="1"/>
    <col min="782" max="782" width="12.2109375" style="132" customWidth="1"/>
    <col min="783" max="783" width="11.35546875" style="132" customWidth="1"/>
    <col min="784" max="785" width="8.7109375" style="132" customWidth="1"/>
    <col min="786" max="786" width="12" style="132" customWidth="1"/>
    <col min="787" max="787" width="11.2109375" style="132" customWidth="1"/>
    <col min="788" max="789" width="12.140625" style="132" customWidth="1"/>
    <col min="790" max="790" width="10.7109375" style="132" customWidth="1"/>
    <col min="791" max="791" width="11.140625" style="132" customWidth="1"/>
    <col min="792" max="792" width="11.640625" style="132" customWidth="1"/>
    <col min="793" max="793" width="11.140625" style="132" customWidth="1"/>
    <col min="794" max="794" width="10.85546875" style="132" customWidth="1"/>
    <col min="795" max="795" width="10.640625" style="132" customWidth="1"/>
    <col min="796" max="797" width="7.140625" style="132" customWidth="1"/>
    <col min="798" max="1023" width="9" style="132" customWidth="1"/>
    <col min="1024" max="1025" width="4.35546875" style="132"/>
    <col min="1026" max="1026" width="6.85546875" style="132" customWidth="1"/>
    <col min="1027" max="1027" width="8" style="132" customWidth="1"/>
    <col min="1028" max="1028" width="5.2109375" style="132" customWidth="1"/>
    <col min="1029" max="1029" width="20.640625" style="132" customWidth="1"/>
    <col min="1030" max="1030" width="17.7109375" style="132" customWidth="1"/>
    <col min="1031" max="1031" width="11.85546875" style="132" customWidth="1"/>
    <col min="1032" max="1032" width="3.85546875" style="132" customWidth="1"/>
    <col min="1033" max="1033" width="4.2109375" style="132" customWidth="1"/>
    <col min="1034" max="1034" width="4.140625" style="132" customWidth="1"/>
    <col min="1035" max="1035" width="4" style="132" customWidth="1"/>
    <col min="1036" max="1036" width="29.5" style="132" customWidth="1"/>
    <col min="1037" max="1037" width="14.640625" style="132" customWidth="1"/>
    <col min="1038" max="1038" width="12.2109375" style="132" customWidth="1"/>
    <col min="1039" max="1039" width="11.35546875" style="132" customWidth="1"/>
    <col min="1040" max="1041" width="8.7109375" style="132" customWidth="1"/>
    <col min="1042" max="1042" width="12" style="132" customWidth="1"/>
    <col min="1043" max="1043" width="11.2109375" style="132" customWidth="1"/>
    <col min="1044" max="1045" width="12.140625" style="132" customWidth="1"/>
    <col min="1046" max="1046" width="10.7109375" style="132" customWidth="1"/>
    <col min="1047" max="1047" width="11.140625" style="132" customWidth="1"/>
    <col min="1048" max="1048" width="11.640625" style="132" customWidth="1"/>
    <col min="1049" max="1049" width="11.140625" style="132" customWidth="1"/>
    <col min="1050" max="1050" width="10.85546875" style="132" customWidth="1"/>
    <col min="1051" max="1051" width="10.640625" style="132" customWidth="1"/>
    <col min="1052" max="1053" width="7.140625" style="132" customWidth="1"/>
    <col min="1054" max="1279" width="9" style="132" customWidth="1"/>
    <col min="1280" max="1281" width="4.35546875" style="132"/>
    <col min="1282" max="1282" width="6.85546875" style="132" customWidth="1"/>
    <col min="1283" max="1283" width="8" style="132" customWidth="1"/>
    <col min="1284" max="1284" width="5.2109375" style="132" customWidth="1"/>
    <col min="1285" max="1285" width="20.640625" style="132" customWidth="1"/>
    <col min="1286" max="1286" width="17.7109375" style="132" customWidth="1"/>
    <col min="1287" max="1287" width="11.85546875" style="132" customWidth="1"/>
    <col min="1288" max="1288" width="3.85546875" style="132" customWidth="1"/>
    <col min="1289" max="1289" width="4.2109375" style="132" customWidth="1"/>
    <col min="1290" max="1290" width="4.140625" style="132" customWidth="1"/>
    <col min="1291" max="1291" width="4" style="132" customWidth="1"/>
    <col min="1292" max="1292" width="29.5" style="132" customWidth="1"/>
    <col min="1293" max="1293" width="14.640625" style="132" customWidth="1"/>
    <col min="1294" max="1294" width="12.2109375" style="132" customWidth="1"/>
    <col min="1295" max="1295" width="11.35546875" style="132" customWidth="1"/>
    <col min="1296" max="1297" width="8.7109375" style="132" customWidth="1"/>
    <col min="1298" max="1298" width="12" style="132" customWidth="1"/>
    <col min="1299" max="1299" width="11.2109375" style="132" customWidth="1"/>
    <col min="1300" max="1301" width="12.140625" style="132" customWidth="1"/>
    <col min="1302" max="1302" width="10.7109375" style="132" customWidth="1"/>
    <col min="1303" max="1303" width="11.140625" style="132" customWidth="1"/>
    <col min="1304" max="1304" width="11.640625" style="132" customWidth="1"/>
    <col min="1305" max="1305" width="11.140625" style="132" customWidth="1"/>
    <col min="1306" max="1306" width="10.85546875" style="132" customWidth="1"/>
    <col min="1307" max="1307" width="10.640625" style="132" customWidth="1"/>
    <col min="1308" max="1309" width="7.140625" style="132" customWidth="1"/>
    <col min="1310" max="1535" width="9" style="132" customWidth="1"/>
    <col min="1536" max="1537" width="4.35546875" style="132"/>
    <col min="1538" max="1538" width="6.85546875" style="132" customWidth="1"/>
    <col min="1539" max="1539" width="8" style="132" customWidth="1"/>
    <col min="1540" max="1540" width="5.2109375" style="132" customWidth="1"/>
    <col min="1541" max="1541" width="20.640625" style="132" customWidth="1"/>
    <col min="1542" max="1542" width="17.7109375" style="132" customWidth="1"/>
    <col min="1543" max="1543" width="11.85546875" style="132" customWidth="1"/>
    <col min="1544" max="1544" width="3.85546875" style="132" customWidth="1"/>
    <col min="1545" max="1545" width="4.2109375" style="132" customWidth="1"/>
    <col min="1546" max="1546" width="4.140625" style="132" customWidth="1"/>
    <col min="1547" max="1547" width="4" style="132" customWidth="1"/>
    <col min="1548" max="1548" width="29.5" style="132" customWidth="1"/>
    <col min="1549" max="1549" width="14.640625" style="132" customWidth="1"/>
    <col min="1550" max="1550" width="12.2109375" style="132" customWidth="1"/>
    <col min="1551" max="1551" width="11.35546875" style="132" customWidth="1"/>
    <col min="1552" max="1553" width="8.7109375" style="132" customWidth="1"/>
    <col min="1554" max="1554" width="12" style="132" customWidth="1"/>
    <col min="1555" max="1555" width="11.2109375" style="132" customWidth="1"/>
    <col min="1556" max="1557" width="12.140625" style="132" customWidth="1"/>
    <col min="1558" max="1558" width="10.7109375" style="132" customWidth="1"/>
    <col min="1559" max="1559" width="11.140625" style="132" customWidth="1"/>
    <col min="1560" max="1560" width="11.640625" style="132" customWidth="1"/>
    <col min="1561" max="1561" width="11.140625" style="132" customWidth="1"/>
    <col min="1562" max="1562" width="10.85546875" style="132" customWidth="1"/>
    <col min="1563" max="1563" width="10.640625" style="132" customWidth="1"/>
    <col min="1564" max="1565" width="7.140625" style="132" customWidth="1"/>
    <col min="1566" max="1791" width="9" style="132" customWidth="1"/>
    <col min="1792" max="1793" width="4.35546875" style="132"/>
    <col min="1794" max="1794" width="6.85546875" style="132" customWidth="1"/>
    <col min="1795" max="1795" width="8" style="132" customWidth="1"/>
    <col min="1796" max="1796" width="5.2109375" style="132" customWidth="1"/>
    <col min="1797" max="1797" width="20.640625" style="132" customWidth="1"/>
    <col min="1798" max="1798" width="17.7109375" style="132" customWidth="1"/>
    <col min="1799" max="1799" width="11.85546875" style="132" customWidth="1"/>
    <col min="1800" max="1800" width="3.85546875" style="132" customWidth="1"/>
    <col min="1801" max="1801" width="4.2109375" style="132" customWidth="1"/>
    <col min="1802" max="1802" width="4.140625" style="132" customWidth="1"/>
    <col min="1803" max="1803" width="4" style="132" customWidth="1"/>
    <col min="1804" max="1804" width="29.5" style="132" customWidth="1"/>
    <col min="1805" max="1805" width="14.640625" style="132" customWidth="1"/>
    <col min="1806" max="1806" width="12.2109375" style="132" customWidth="1"/>
    <col min="1807" max="1807" width="11.35546875" style="132" customWidth="1"/>
    <col min="1808" max="1809" width="8.7109375" style="132" customWidth="1"/>
    <col min="1810" max="1810" width="12" style="132" customWidth="1"/>
    <col min="1811" max="1811" width="11.2109375" style="132" customWidth="1"/>
    <col min="1812" max="1813" width="12.140625" style="132" customWidth="1"/>
    <col min="1814" max="1814" width="10.7109375" style="132" customWidth="1"/>
    <col min="1815" max="1815" width="11.140625" style="132" customWidth="1"/>
    <col min="1816" max="1816" width="11.640625" style="132" customWidth="1"/>
    <col min="1817" max="1817" width="11.140625" style="132" customWidth="1"/>
    <col min="1818" max="1818" width="10.85546875" style="132" customWidth="1"/>
    <col min="1819" max="1819" width="10.640625" style="132" customWidth="1"/>
    <col min="1820" max="1821" width="7.140625" style="132" customWidth="1"/>
    <col min="1822" max="2047" width="9" style="132" customWidth="1"/>
    <col min="2048" max="2049" width="4.35546875" style="132"/>
    <col min="2050" max="2050" width="6.85546875" style="132" customWidth="1"/>
    <col min="2051" max="2051" width="8" style="132" customWidth="1"/>
    <col min="2052" max="2052" width="5.2109375" style="132" customWidth="1"/>
    <col min="2053" max="2053" width="20.640625" style="132" customWidth="1"/>
    <col min="2054" max="2054" width="17.7109375" style="132" customWidth="1"/>
    <col min="2055" max="2055" width="11.85546875" style="132" customWidth="1"/>
    <col min="2056" max="2056" width="3.85546875" style="132" customWidth="1"/>
    <col min="2057" max="2057" width="4.2109375" style="132" customWidth="1"/>
    <col min="2058" max="2058" width="4.140625" style="132" customWidth="1"/>
    <col min="2059" max="2059" width="4" style="132" customWidth="1"/>
    <col min="2060" max="2060" width="29.5" style="132" customWidth="1"/>
    <col min="2061" max="2061" width="14.640625" style="132" customWidth="1"/>
    <col min="2062" max="2062" width="12.2109375" style="132" customWidth="1"/>
    <col min="2063" max="2063" width="11.35546875" style="132" customWidth="1"/>
    <col min="2064" max="2065" width="8.7109375" style="132" customWidth="1"/>
    <col min="2066" max="2066" width="12" style="132" customWidth="1"/>
    <col min="2067" max="2067" width="11.2109375" style="132" customWidth="1"/>
    <col min="2068" max="2069" width="12.140625" style="132" customWidth="1"/>
    <col min="2070" max="2070" width="10.7109375" style="132" customWidth="1"/>
    <col min="2071" max="2071" width="11.140625" style="132" customWidth="1"/>
    <col min="2072" max="2072" width="11.640625" style="132" customWidth="1"/>
    <col min="2073" max="2073" width="11.140625" style="132" customWidth="1"/>
    <col min="2074" max="2074" width="10.85546875" style="132" customWidth="1"/>
    <col min="2075" max="2075" width="10.640625" style="132" customWidth="1"/>
    <col min="2076" max="2077" width="7.140625" style="132" customWidth="1"/>
    <col min="2078" max="2303" width="9" style="132" customWidth="1"/>
    <col min="2304" max="2305" width="4.35546875" style="132"/>
    <col min="2306" max="2306" width="6.85546875" style="132" customWidth="1"/>
    <col min="2307" max="2307" width="8" style="132" customWidth="1"/>
    <col min="2308" max="2308" width="5.2109375" style="132" customWidth="1"/>
    <col min="2309" max="2309" width="20.640625" style="132" customWidth="1"/>
    <col min="2310" max="2310" width="17.7109375" style="132" customWidth="1"/>
    <col min="2311" max="2311" width="11.85546875" style="132" customWidth="1"/>
    <col min="2312" max="2312" width="3.85546875" style="132" customWidth="1"/>
    <col min="2313" max="2313" width="4.2109375" style="132" customWidth="1"/>
    <col min="2314" max="2314" width="4.140625" style="132" customWidth="1"/>
    <col min="2315" max="2315" width="4" style="132" customWidth="1"/>
    <col min="2316" max="2316" width="29.5" style="132" customWidth="1"/>
    <col min="2317" max="2317" width="14.640625" style="132" customWidth="1"/>
    <col min="2318" max="2318" width="12.2109375" style="132" customWidth="1"/>
    <col min="2319" max="2319" width="11.35546875" style="132" customWidth="1"/>
    <col min="2320" max="2321" width="8.7109375" style="132" customWidth="1"/>
    <col min="2322" max="2322" width="12" style="132" customWidth="1"/>
    <col min="2323" max="2323" width="11.2109375" style="132" customWidth="1"/>
    <col min="2324" max="2325" width="12.140625" style="132" customWidth="1"/>
    <col min="2326" max="2326" width="10.7109375" style="132" customWidth="1"/>
    <col min="2327" max="2327" width="11.140625" style="132" customWidth="1"/>
    <col min="2328" max="2328" width="11.640625" style="132" customWidth="1"/>
    <col min="2329" max="2329" width="11.140625" style="132" customWidth="1"/>
    <col min="2330" max="2330" width="10.85546875" style="132" customWidth="1"/>
    <col min="2331" max="2331" width="10.640625" style="132" customWidth="1"/>
    <col min="2332" max="2333" width="7.140625" style="132" customWidth="1"/>
    <col min="2334" max="2559" width="9" style="132" customWidth="1"/>
    <col min="2560" max="2561" width="4.35546875" style="132"/>
    <col min="2562" max="2562" width="6.85546875" style="132" customWidth="1"/>
    <col min="2563" max="2563" width="8" style="132" customWidth="1"/>
    <col min="2564" max="2564" width="5.2109375" style="132" customWidth="1"/>
    <col min="2565" max="2565" width="20.640625" style="132" customWidth="1"/>
    <col min="2566" max="2566" width="17.7109375" style="132" customWidth="1"/>
    <col min="2567" max="2567" width="11.85546875" style="132" customWidth="1"/>
    <col min="2568" max="2568" width="3.85546875" style="132" customWidth="1"/>
    <col min="2569" max="2569" width="4.2109375" style="132" customWidth="1"/>
    <col min="2570" max="2570" width="4.140625" style="132" customWidth="1"/>
    <col min="2571" max="2571" width="4" style="132" customWidth="1"/>
    <col min="2572" max="2572" width="29.5" style="132" customWidth="1"/>
    <col min="2573" max="2573" width="14.640625" style="132" customWidth="1"/>
    <col min="2574" max="2574" width="12.2109375" style="132" customWidth="1"/>
    <col min="2575" max="2575" width="11.35546875" style="132" customWidth="1"/>
    <col min="2576" max="2577" width="8.7109375" style="132" customWidth="1"/>
    <col min="2578" max="2578" width="12" style="132" customWidth="1"/>
    <col min="2579" max="2579" width="11.2109375" style="132" customWidth="1"/>
    <col min="2580" max="2581" width="12.140625" style="132" customWidth="1"/>
    <col min="2582" max="2582" width="10.7109375" style="132" customWidth="1"/>
    <col min="2583" max="2583" width="11.140625" style="132" customWidth="1"/>
    <col min="2584" max="2584" width="11.640625" style="132" customWidth="1"/>
    <col min="2585" max="2585" width="11.140625" style="132" customWidth="1"/>
    <col min="2586" max="2586" width="10.85546875" style="132" customWidth="1"/>
    <col min="2587" max="2587" width="10.640625" style="132" customWidth="1"/>
    <col min="2588" max="2589" width="7.140625" style="132" customWidth="1"/>
    <col min="2590" max="2815" width="9" style="132" customWidth="1"/>
    <col min="2816" max="2817" width="4.35546875" style="132"/>
    <col min="2818" max="2818" width="6.85546875" style="132" customWidth="1"/>
    <col min="2819" max="2819" width="8" style="132" customWidth="1"/>
    <col min="2820" max="2820" width="5.2109375" style="132" customWidth="1"/>
    <col min="2821" max="2821" width="20.640625" style="132" customWidth="1"/>
    <col min="2822" max="2822" width="17.7109375" style="132" customWidth="1"/>
    <col min="2823" max="2823" width="11.85546875" style="132" customWidth="1"/>
    <col min="2824" max="2824" width="3.85546875" style="132" customWidth="1"/>
    <col min="2825" max="2825" width="4.2109375" style="132" customWidth="1"/>
    <col min="2826" max="2826" width="4.140625" style="132" customWidth="1"/>
    <col min="2827" max="2827" width="4" style="132" customWidth="1"/>
    <col min="2828" max="2828" width="29.5" style="132" customWidth="1"/>
    <col min="2829" max="2829" width="14.640625" style="132" customWidth="1"/>
    <col min="2830" max="2830" width="12.2109375" style="132" customWidth="1"/>
    <col min="2831" max="2831" width="11.35546875" style="132" customWidth="1"/>
    <col min="2832" max="2833" width="8.7109375" style="132" customWidth="1"/>
    <col min="2834" max="2834" width="12" style="132" customWidth="1"/>
    <col min="2835" max="2835" width="11.2109375" style="132" customWidth="1"/>
    <col min="2836" max="2837" width="12.140625" style="132" customWidth="1"/>
    <col min="2838" max="2838" width="10.7109375" style="132" customWidth="1"/>
    <col min="2839" max="2839" width="11.140625" style="132" customWidth="1"/>
    <col min="2840" max="2840" width="11.640625" style="132" customWidth="1"/>
    <col min="2841" max="2841" width="11.140625" style="132" customWidth="1"/>
    <col min="2842" max="2842" width="10.85546875" style="132" customWidth="1"/>
    <col min="2843" max="2843" width="10.640625" style="132" customWidth="1"/>
    <col min="2844" max="2845" width="7.140625" style="132" customWidth="1"/>
    <col min="2846" max="3071" width="9" style="132" customWidth="1"/>
    <col min="3072" max="3073" width="4.35546875" style="132"/>
    <col min="3074" max="3074" width="6.85546875" style="132" customWidth="1"/>
    <col min="3075" max="3075" width="8" style="132" customWidth="1"/>
    <col min="3076" max="3076" width="5.2109375" style="132" customWidth="1"/>
    <col min="3077" max="3077" width="20.640625" style="132" customWidth="1"/>
    <col min="3078" max="3078" width="17.7109375" style="132" customWidth="1"/>
    <col min="3079" max="3079" width="11.85546875" style="132" customWidth="1"/>
    <col min="3080" max="3080" width="3.85546875" style="132" customWidth="1"/>
    <col min="3081" max="3081" width="4.2109375" style="132" customWidth="1"/>
    <col min="3082" max="3082" width="4.140625" style="132" customWidth="1"/>
    <col min="3083" max="3083" width="4" style="132" customWidth="1"/>
    <col min="3084" max="3084" width="29.5" style="132" customWidth="1"/>
    <col min="3085" max="3085" width="14.640625" style="132" customWidth="1"/>
    <col min="3086" max="3086" width="12.2109375" style="132" customWidth="1"/>
    <col min="3087" max="3087" width="11.35546875" style="132" customWidth="1"/>
    <col min="3088" max="3089" width="8.7109375" style="132" customWidth="1"/>
    <col min="3090" max="3090" width="12" style="132" customWidth="1"/>
    <col min="3091" max="3091" width="11.2109375" style="132" customWidth="1"/>
    <col min="3092" max="3093" width="12.140625" style="132" customWidth="1"/>
    <col min="3094" max="3094" width="10.7109375" style="132" customWidth="1"/>
    <col min="3095" max="3095" width="11.140625" style="132" customWidth="1"/>
    <col min="3096" max="3096" width="11.640625" style="132" customWidth="1"/>
    <col min="3097" max="3097" width="11.140625" style="132" customWidth="1"/>
    <col min="3098" max="3098" width="10.85546875" style="132" customWidth="1"/>
    <col min="3099" max="3099" width="10.640625" style="132" customWidth="1"/>
    <col min="3100" max="3101" width="7.140625" style="132" customWidth="1"/>
    <col min="3102" max="3327" width="9" style="132" customWidth="1"/>
    <col min="3328" max="3329" width="4.35546875" style="132"/>
    <col min="3330" max="3330" width="6.85546875" style="132" customWidth="1"/>
    <col min="3331" max="3331" width="8" style="132" customWidth="1"/>
    <col min="3332" max="3332" width="5.2109375" style="132" customWidth="1"/>
    <col min="3333" max="3333" width="20.640625" style="132" customWidth="1"/>
    <col min="3334" max="3334" width="17.7109375" style="132" customWidth="1"/>
    <col min="3335" max="3335" width="11.85546875" style="132" customWidth="1"/>
    <col min="3336" max="3336" width="3.85546875" style="132" customWidth="1"/>
    <col min="3337" max="3337" width="4.2109375" style="132" customWidth="1"/>
    <col min="3338" max="3338" width="4.140625" style="132" customWidth="1"/>
    <col min="3339" max="3339" width="4" style="132" customWidth="1"/>
    <col min="3340" max="3340" width="29.5" style="132" customWidth="1"/>
    <col min="3341" max="3341" width="14.640625" style="132" customWidth="1"/>
    <col min="3342" max="3342" width="12.2109375" style="132" customWidth="1"/>
    <col min="3343" max="3343" width="11.35546875" style="132" customWidth="1"/>
    <col min="3344" max="3345" width="8.7109375" style="132" customWidth="1"/>
    <col min="3346" max="3346" width="12" style="132" customWidth="1"/>
    <col min="3347" max="3347" width="11.2109375" style="132" customWidth="1"/>
    <col min="3348" max="3349" width="12.140625" style="132" customWidth="1"/>
    <col min="3350" max="3350" width="10.7109375" style="132" customWidth="1"/>
    <col min="3351" max="3351" width="11.140625" style="132" customWidth="1"/>
    <col min="3352" max="3352" width="11.640625" style="132" customWidth="1"/>
    <col min="3353" max="3353" width="11.140625" style="132" customWidth="1"/>
    <col min="3354" max="3354" width="10.85546875" style="132" customWidth="1"/>
    <col min="3355" max="3355" width="10.640625" style="132" customWidth="1"/>
    <col min="3356" max="3357" width="7.140625" style="132" customWidth="1"/>
    <col min="3358" max="3583" width="9" style="132" customWidth="1"/>
    <col min="3584" max="3585" width="4.35546875" style="132"/>
    <col min="3586" max="3586" width="6.85546875" style="132" customWidth="1"/>
    <col min="3587" max="3587" width="8" style="132" customWidth="1"/>
    <col min="3588" max="3588" width="5.2109375" style="132" customWidth="1"/>
    <col min="3589" max="3589" width="20.640625" style="132" customWidth="1"/>
    <col min="3590" max="3590" width="17.7109375" style="132" customWidth="1"/>
    <col min="3591" max="3591" width="11.85546875" style="132" customWidth="1"/>
    <col min="3592" max="3592" width="3.85546875" style="132" customWidth="1"/>
    <col min="3593" max="3593" width="4.2109375" style="132" customWidth="1"/>
    <col min="3594" max="3594" width="4.140625" style="132" customWidth="1"/>
    <col min="3595" max="3595" width="4" style="132" customWidth="1"/>
    <col min="3596" max="3596" width="29.5" style="132" customWidth="1"/>
    <col min="3597" max="3597" width="14.640625" style="132" customWidth="1"/>
    <col min="3598" max="3598" width="12.2109375" style="132" customWidth="1"/>
    <col min="3599" max="3599" width="11.35546875" style="132" customWidth="1"/>
    <col min="3600" max="3601" width="8.7109375" style="132" customWidth="1"/>
    <col min="3602" max="3602" width="12" style="132" customWidth="1"/>
    <col min="3603" max="3603" width="11.2109375" style="132" customWidth="1"/>
    <col min="3604" max="3605" width="12.140625" style="132" customWidth="1"/>
    <col min="3606" max="3606" width="10.7109375" style="132" customWidth="1"/>
    <col min="3607" max="3607" width="11.140625" style="132" customWidth="1"/>
    <col min="3608" max="3608" width="11.640625" style="132" customWidth="1"/>
    <col min="3609" max="3609" width="11.140625" style="132" customWidth="1"/>
    <col min="3610" max="3610" width="10.85546875" style="132" customWidth="1"/>
    <col min="3611" max="3611" width="10.640625" style="132" customWidth="1"/>
    <col min="3612" max="3613" width="7.140625" style="132" customWidth="1"/>
    <col min="3614" max="3839" width="9" style="132" customWidth="1"/>
    <col min="3840" max="3841" width="4.35546875" style="132"/>
    <col min="3842" max="3842" width="6.85546875" style="132" customWidth="1"/>
    <col min="3843" max="3843" width="8" style="132" customWidth="1"/>
    <col min="3844" max="3844" width="5.2109375" style="132" customWidth="1"/>
    <col min="3845" max="3845" width="20.640625" style="132" customWidth="1"/>
    <col min="3846" max="3846" width="17.7109375" style="132" customWidth="1"/>
    <col min="3847" max="3847" width="11.85546875" style="132" customWidth="1"/>
    <col min="3848" max="3848" width="3.85546875" style="132" customWidth="1"/>
    <col min="3849" max="3849" width="4.2109375" style="132" customWidth="1"/>
    <col min="3850" max="3850" width="4.140625" style="132" customWidth="1"/>
    <col min="3851" max="3851" width="4" style="132" customWidth="1"/>
    <col min="3852" max="3852" width="29.5" style="132" customWidth="1"/>
    <col min="3853" max="3853" width="14.640625" style="132" customWidth="1"/>
    <col min="3854" max="3854" width="12.2109375" style="132" customWidth="1"/>
    <col min="3855" max="3855" width="11.35546875" style="132" customWidth="1"/>
    <col min="3856" max="3857" width="8.7109375" style="132" customWidth="1"/>
    <col min="3858" max="3858" width="12" style="132" customWidth="1"/>
    <col min="3859" max="3859" width="11.2109375" style="132" customWidth="1"/>
    <col min="3860" max="3861" width="12.140625" style="132" customWidth="1"/>
    <col min="3862" max="3862" width="10.7109375" style="132" customWidth="1"/>
    <col min="3863" max="3863" width="11.140625" style="132" customWidth="1"/>
    <col min="3864" max="3864" width="11.640625" style="132" customWidth="1"/>
    <col min="3865" max="3865" width="11.140625" style="132" customWidth="1"/>
    <col min="3866" max="3866" width="10.85546875" style="132" customWidth="1"/>
    <col min="3867" max="3867" width="10.640625" style="132" customWidth="1"/>
    <col min="3868" max="3869" width="7.140625" style="132" customWidth="1"/>
    <col min="3870" max="4095" width="9" style="132" customWidth="1"/>
    <col min="4096" max="4097" width="4.35546875" style="132"/>
    <col min="4098" max="4098" width="6.85546875" style="132" customWidth="1"/>
    <col min="4099" max="4099" width="8" style="132" customWidth="1"/>
    <col min="4100" max="4100" width="5.2109375" style="132" customWidth="1"/>
    <col min="4101" max="4101" width="20.640625" style="132" customWidth="1"/>
    <col min="4102" max="4102" width="17.7109375" style="132" customWidth="1"/>
    <col min="4103" max="4103" width="11.85546875" style="132" customWidth="1"/>
    <col min="4104" max="4104" width="3.85546875" style="132" customWidth="1"/>
    <col min="4105" max="4105" width="4.2109375" style="132" customWidth="1"/>
    <col min="4106" max="4106" width="4.140625" style="132" customWidth="1"/>
    <col min="4107" max="4107" width="4" style="132" customWidth="1"/>
    <col min="4108" max="4108" width="29.5" style="132" customWidth="1"/>
    <col min="4109" max="4109" width="14.640625" style="132" customWidth="1"/>
    <col min="4110" max="4110" width="12.2109375" style="132" customWidth="1"/>
    <col min="4111" max="4111" width="11.35546875" style="132" customWidth="1"/>
    <col min="4112" max="4113" width="8.7109375" style="132" customWidth="1"/>
    <col min="4114" max="4114" width="12" style="132" customWidth="1"/>
    <col min="4115" max="4115" width="11.2109375" style="132" customWidth="1"/>
    <col min="4116" max="4117" width="12.140625" style="132" customWidth="1"/>
    <col min="4118" max="4118" width="10.7109375" style="132" customWidth="1"/>
    <col min="4119" max="4119" width="11.140625" style="132" customWidth="1"/>
    <col min="4120" max="4120" width="11.640625" style="132" customWidth="1"/>
    <col min="4121" max="4121" width="11.140625" style="132" customWidth="1"/>
    <col min="4122" max="4122" width="10.85546875" style="132" customWidth="1"/>
    <col min="4123" max="4123" width="10.640625" style="132" customWidth="1"/>
    <col min="4124" max="4125" width="7.140625" style="132" customWidth="1"/>
    <col min="4126" max="4351" width="9" style="132" customWidth="1"/>
    <col min="4352" max="4353" width="4.35546875" style="132"/>
    <col min="4354" max="4354" width="6.85546875" style="132" customWidth="1"/>
    <col min="4355" max="4355" width="8" style="132" customWidth="1"/>
    <col min="4356" max="4356" width="5.2109375" style="132" customWidth="1"/>
    <col min="4357" max="4357" width="20.640625" style="132" customWidth="1"/>
    <col min="4358" max="4358" width="17.7109375" style="132" customWidth="1"/>
    <col min="4359" max="4359" width="11.85546875" style="132" customWidth="1"/>
    <col min="4360" max="4360" width="3.85546875" style="132" customWidth="1"/>
    <col min="4361" max="4361" width="4.2109375" style="132" customWidth="1"/>
    <col min="4362" max="4362" width="4.140625" style="132" customWidth="1"/>
    <col min="4363" max="4363" width="4" style="132" customWidth="1"/>
    <col min="4364" max="4364" width="29.5" style="132" customWidth="1"/>
    <col min="4365" max="4365" width="14.640625" style="132" customWidth="1"/>
    <col min="4366" max="4366" width="12.2109375" style="132" customWidth="1"/>
    <col min="4367" max="4367" width="11.35546875" style="132" customWidth="1"/>
    <col min="4368" max="4369" width="8.7109375" style="132" customWidth="1"/>
    <col min="4370" max="4370" width="12" style="132" customWidth="1"/>
    <col min="4371" max="4371" width="11.2109375" style="132" customWidth="1"/>
    <col min="4372" max="4373" width="12.140625" style="132" customWidth="1"/>
    <col min="4374" max="4374" width="10.7109375" style="132" customWidth="1"/>
    <col min="4375" max="4375" width="11.140625" style="132" customWidth="1"/>
    <col min="4376" max="4376" width="11.640625" style="132" customWidth="1"/>
    <col min="4377" max="4377" width="11.140625" style="132" customWidth="1"/>
    <col min="4378" max="4378" width="10.85546875" style="132" customWidth="1"/>
    <col min="4379" max="4379" width="10.640625" style="132" customWidth="1"/>
    <col min="4380" max="4381" width="7.140625" style="132" customWidth="1"/>
    <col min="4382" max="4607" width="9" style="132" customWidth="1"/>
    <col min="4608" max="4609" width="4.35546875" style="132"/>
    <col min="4610" max="4610" width="6.85546875" style="132" customWidth="1"/>
    <col min="4611" max="4611" width="8" style="132" customWidth="1"/>
    <col min="4612" max="4612" width="5.2109375" style="132" customWidth="1"/>
    <col min="4613" max="4613" width="20.640625" style="132" customWidth="1"/>
    <col min="4614" max="4614" width="17.7109375" style="132" customWidth="1"/>
    <col min="4615" max="4615" width="11.85546875" style="132" customWidth="1"/>
    <col min="4616" max="4616" width="3.85546875" style="132" customWidth="1"/>
    <col min="4617" max="4617" width="4.2109375" style="132" customWidth="1"/>
    <col min="4618" max="4618" width="4.140625" style="132" customWidth="1"/>
    <col min="4619" max="4619" width="4" style="132" customWidth="1"/>
    <col min="4620" max="4620" width="29.5" style="132" customWidth="1"/>
    <col min="4621" max="4621" width="14.640625" style="132" customWidth="1"/>
    <col min="4622" max="4622" width="12.2109375" style="132" customWidth="1"/>
    <col min="4623" max="4623" width="11.35546875" style="132" customWidth="1"/>
    <col min="4624" max="4625" width="8.7109375" style="132" customWidth="1"/>
    <col min="4626" max="4626" width="12" style="132" customWidth="1"/>
    <col min="4627" max="4627" width="11.2109375" style="132" customWidth="1"/>
    <col min="4628" max="4629" width="12.140625" style="132" customWidth="1"/>
    <col min="4630" max="4630" width="10.7109375" style="132" customWidth="1"/>
    <col min="4631" max="4631" width="11.140625" style="132" customWidth="1"/>
    <col min="4632" max="4632" width="11.640625" style="132" customWidth="1"/>
    <col min="4633" max="4633" width="11.140625" style="132" customWidth="1"/>
    <col min="4634" max="4634" width="10.85546875" style="132" customWidth="1"/>
    <col min="4635" max="4635" width="10.640625" style="132" customWidth="1"/>
    <col min="4636" max="4637" width="7.140625" style="132" customWidth="1"/>
    <col min="4638" max="4863" width="9" style="132" customWidth="1"/>
    <col min="4864" max="4865" width="4.35546875" style="132"/>
    <col min="4866" max="4866" width="6.85546875" style="132" customWidth="1"/>
    <col min="4867" max="4867" width="8" style="132" customWidth="1"/>
    <col min="4868" max="4868" width="5.2109375" style="132" customWidth="1"/>
    <col min="4869" max="4869" width="20.640625" style="132" customWidth="1"/>
    <col min="4870" max="4870" width="17.7109375" style="132" customWidth="1"/>
    <col min="4871" max="4871" width="11.85546875" style="132" customWidth="1"/>
    <col min="4872" max="4872" width="3.85546875" style="132" customWidth="1"/>
    <col min="4873" max="4873" width="4.2109375" style="132" customWidth="1"/>
    <col min="4874" max="4874" width="4.140625" style="132" customWidth="1"/>
    <col min="4875" max="4875" width="4" style="132" customWidth="1"/>
    <col min="4876" max="4876" width="29.5" style="132" customWidth="1"/>
    <col min="4877" max="4877" width="14.640625" style="132" customWidth="1"/>
    <col min="4878" max="4878" width="12.2109375" style="132" customWidth="1"/>
    <col min="4879" max="4879" width="11.35546875" style="132" customWidth="1"/>
    <col min="4880" max="4881" width="8.7109375" style="132" customWidth="1"/>
    <col min="4882" max="4882" width="12" style="132" customWidth="1"/>
    <col min="4883" max="4883" width="11.2109375" style="132" customWidth="1"/>
    <col min="4884" max="4885" width="12.140625" style="132" customWidth="1"/>
    <col min="4886" max="4886" width="10.7109375" style="132" customWidth="1"/>
    <col min="4887" max="4887" width="11.140625" style="132" customWidth="1"/>
    <col min="4888" max="4888" width="11.640625" style="132" customWidth="1"/>
    <col min="4889" max="4889" width="11.140625" style="132" customWidth="1"/>
    <col min="4890" max="4890" width="10.85546875" style="132" customWidth="1"/>
    <col min="4891" max="4891" width="10.640625" style="132" customWidth="1"/>
    <col min="4892" max="4893" width="7.140625" style="132" customWidth="1"/>
    <col min="4894" max="5119" width="9" style="132" customWidth="1"/>
    <col min="5120" max="5121" width="4.35546875" style="132"/>
    <col min="5122" max="5122" width="6.85546875" style="132" customWidth="1"/>
    <col min="5123" max="5123" width="8" style="132" customWidth="1"/>
    <col min="5124" max="5124" width="5.2109375" style="132" customWidth="1"/>
    <col min="5125" max="5125" width="20.640625" style="132" customWidth="1"/>
    <col min="5126" max="5126" width="17.7109375" style="132" customWidth="1"/>
    <col min="5127" max="5127" width="11.85546875" style="132" customWidth="1"/>
    <col min="5128" max="5128" width="3.85546875" style="132" customWidth="1"/>
    <col min="5129" max="5129" width="4.2109375" style="132" customWidth="1"/>
    <col min="5130" max="5130" width="4.140625" style="132" customWidth="1"/>
    <col min="5131" max="5131" width="4" style="132" customWidth="1"/>
    <col min="5132" max="5132" width="29.5" style="132" customWidth="1"/>
    <col min="5133" max="5133" width="14.640625" style="132" customWidth="1"/>
    <col min="5134" max="5134" width="12.2109375" style="132" customWidth="1"/>
    <col min="5135" max="5135" width="11.35546875" style="132" customWidth="1"/>
    <col min="5136" max="5137" width="8.7109375" style="132" customWidth="1"/>
    <col min="5138" max="5138" width="12" style="132" customWidth="1"/>
    <col min="5139" max="5139" width="11.2109375" style="132" customWidth="1"/>
    <col min="5140" max="5141" width="12.140625" style="132" customWidth="1"/>
    <col min="5142" max="5142" width="10.7109375" style="132" customWidth="1"/>
    <col min="5143" max="5143" width="11.140625" style="132" customWidth="1"/>
    <col min="5144" max="5144" width="11.640625" style="132" customWidth="1"/>
    <col min="5145" max="5145" width="11.140625" style="132" customWidth="1"/>
    <col min="5146" max="5146" width="10.85546875" style="132" customWidth="1"/>
    <col min="5147" max="5147" width="10.640625" style="132" customWidth="1"/>
    <col min="5148" max="5149" width="7.140625" style="132" customWidth="1"/>
    <col min="5150" max="5375" width="9" style="132" customWidth="1"/>
    <col min="5376" max="5377" width="4.35546875" style="132"/>
    <col min="5378" max="5378" width="6.85546875" style="132" customWidth="1"/>
    <col min="5379" max="5379" width="8" style="132" customWidth="1"/>
    <col min="5380" max="5380" width="5.2109375" style="132" customWidth="1"/>
    <col min="5381" max="5381" width="20.640625" style="132" customWidth="1"/>
    <col min="5382" max="5382" width="17.7109375" style="132" customWidth="1"/>
    <col min="5383" max="5383" width="11.85546875" style="132" customWidth="1"/>
    <col min="5384" max="5384" width="3.85546875" style="132" customWidth="1"/>
    <col min="5385" max="5385" width="4.2109375" style="132" customWidth="1"/>
    <col min="5386" max="5386" width="4.140625" style="132" customWidth="1"/>
    <col min="5387" max="5387" width="4" style="132" customWidth="1"/>
    <col min="5388" max="5388" width="29.5" style="132" customWidth="1"/>
    <col min="5389" max="5389" width="14.640625" style="132" customWidth="1"/>
    <col min="5390" max="5390" width="12.2109375" style="132" customWidth="1"/>
    <col min="5391" max="5391" width="11.35546875" style="132" customWidth="1"/>
    <col min="5392" max="5393" width="8.7109375" style="132" customWidth="1"/>
    <col min="5394" max="5394" width="12" style="132" customWidth="1"/>
    <col min="5395" max="5395" width="11.2109375" style="132" customWidth="1"/>
    <col min="5396" max="5397" width="12.140625" style="132" customWidth="1"/>
    <col min="5398" max="5398" width="10.7109375" style="132" customWidth="1"/>
    <col min="5399" max="5399" width="11.140625" style="132" customWidth="1"/>
    <col min="5400" max="5400" width="11.640625" style="132" customWidth="1"/>
    <col min="5401" max="5401" width="11.140625" style="132" customWidth="1"/>
    <col min="5402" max="5402" width="10.85546875" style="132" customWidth="1"/>
    <col min="5403" max="5403" width="10.640625" style="132" customWidth="1"/>
    <col min="5404" max="5405" width="7.140625" style="132" customWidth="1"/>
    <col min="5406" max="5631" width="9" style="132" customWidth="1"/>
    <col min="5632" max="5633" width="4.35546875" style="132"/>
    <col min="5634" max="5634" width="6.85546875" style="132" customWidth="1"/>
    <col min="5635" max="5635" width="8" style="132" customWidth="1"/>
    <col min="5636" max="5636" width="5.2109375" style="132" customWidth="1"/>
    <col min="5637" max="5637" width="20.640625" style="132" customWidth="1"/>
    <col min="5638" max="5638" width="17.7109375" style="132" customWidth="1"/>
    <col min="5639" max="5639" width="11.85546875" style="132" customWidth="1"/>
    <col min="5640" max="5640" width="3.85546875" style="132" customWidth="1"/>
    <col min="5641" max="5641" width="4.2109375" style="132" customWidth="1"/>
    <col min="5642" max="5642" width="4.140625" style="132" customWidth="1"/>
    <col min="5643" max="5643" width="4" style="132" customWidth="1"/>
    <col min="5644" max="5644" width="29.5" style="132" customWidth="1"/>
    <col min="5645" max="5645" width="14.640625" style="132" customWidth="1"/>
    <col min="5646" max="5646" width="12.2109375" style="132" customWidth="1"/>
    <col min="5647" max="5647" width="11.35546875" style="132" customWidth="1"/>
    <col min="5648" max="5649" width="8.7109375" style="132" customWidth="1"/>
    <col min="5650" max="5650" width="12" style="132" customWidth="1"/>
    <col min="5651" max="5651" width="11.2109375" style="132" customWidth="1"/>
    <col min="5652" max="5653" width="12.140625" style="132" customWidth="1"/>
    <col min="5654" max="5654" width="10.7109375" style="132" customWidth="1"/>
    <col min="5655" max="5655" width="11.140625" style="132" customWidth="1"/>
    <col min="5656" max="5656" width="11.640625" style="132" customWidth="1"/>
    <col min="5657" max="5657" width="11.140625" style="132" customWidth="1"/>
    <col min="5658" max="5658" width="10.85546875" style="132" customWidth="1"/>
    <col min="5659" max="5659" width="10.640625" style="132" customWidth="1"/>
    <col min="5660" max="5661" width="7.140625" style="132" customWidth="1"/>
    <col min="5662" max="5887" width="9" style="132" customWidth="1"/>
    <col min="5888" max="5889" width="4.35546875" style="132"/>
    <col min="5890" max="5890" width="6.85546875" style="132" customWidth="1"/>
    <col min="5891" max="5891" width="8" style="132" customWidth="1"/>
    <col min="5892" max="5892" width="5.2109375" style="132" customWidth="1"/>
    <col min="5893" max="5893" width="20.640625" style="132" customWidth="1"/>
    <col min="5894" max="5894" width="17.7109375" style="132" customWidth="1"/>
    <col min="5895" max="5895" width="11.85546875" style="132" customWidth="1"/>
    <col min="5896" max="5896" width="3.85546875" style="132" customWidth="1"/>
    <col min="5897" max="5897" width="4.2109375" style="132" customWidth="1"/>
    <col min="5898" max="5898" width="4.140625" style="132" customWidth="1"/>
    <col min="5899" max="5899" width="4" style="132" customWidth="1"/>
    <col min="5900" max="5900" width="29.5" style="132" customWidth="1"/>
    <col min="5901" max="5901" width="14.640625" style="132" customWidth="1"/>
    <col min="5902" max="5902" width="12.2109375" style="132" customWidth="1"/>
    <col min="5903" max="5903" width="11.35546875" style="132" customWidth="1"/>
    <col min="5904" max="5905" width="8.7109375" style="132" customWidth="1"/>
    <col min="5906" max="5906" width="12" style="132" customWidth="1"/>
    <col min="5907" max="5907" width="11.2109375" style="132" customWidth="1"/>
    <col min="5908" max="5909" width="12.140625" style="132" customWidth="1"/>
    <col min="5910" max="5910" width="10.7109375" style="132" customWidth="1"/>
    <col min="5911" max="5911" width="11.140625" style="132" customWidth="1"/>
    <col min="5912" max="5912" width="11.640625" style="132" customWidth="1"/>
    <col min="5913" max="5913" width="11.140625" style="132" customWidth="1"/>
    <col min="5914" max="5914" width="10.85546875" style="132" customWidth="1"/>
    <col min="5915" max="5915" width="10.640625" style="132" customWidth="1"/>
    <col min="5916" max="5917" width="7.140625" style="132" customWidth="1"/>
    <col min="5918" max="6143" width="9" style="132" customWidth="1"/>
    <col min="6144" max="6145" width="4.35546875" style="132"/>
    <col min="6146" max="6146" width="6.85546875" style="132" customWidth="1"/>
    <col min="6147" max="6147" width="8" style="132" customWidth="1"/>
    <col min="6148" max="6148" width="5.2109375" style="132" customWidth="1"/>
    <col min="6149" max="6149" width="20.640625" style="132" customWidth="1"/>
    <col min="6150" max="6150" width="17.7109375" style="132" customWidth="1"/>
    <col min="6151" max="6151" width="11.85546875" style="132" customWidth="1"/>
    <col min="6152" max="6152" width="3.85546875" style="132" customWidth="1"/>
    <col min="6153" max="6153" width="4.2109375" style="132" customWidth="1"/>
    <col min="6154" max="6154" width="4.140625" style="132" customWidth="1"/>
    <col min="6155" max="6155" width="4" style="132" customWidth="1"/>
    <col min="6156" max="6156" width="29.5" style="132" customWidth="1"/>
    <col min="6157" max="6157" width="14.640625" style="132" customWidth="1"/>
    <col min="6158" max="6158" width="12.2109375" style="132" customWidth="1"/>
    <col min="6159" max="6159" width="11.35546875" style="132" customWidth="1"/>
    <col min="6160" max="6161" width="8.7109375" style="132" customWidth="1"/>
    <col min="6162" max="6162" width="12" style="132" customWidth="1"/>
    <col min="6163" max="6163" width="11.2109375" style="132" customWidth="1"/>
    <col min="6164" max="6165" width="12.140625" style="132" customWidth="1"/>
    <col min="6166" max="6166" width="10.7109375" style="132" customWidth="1"/>
    <col min="6167" max="6167" width="11.140625" style="132" customWidth="1"/>
    <col min="6168" max="6168" width="11.640625" style="132" customWidth="1"/>
    <col min="6169" max="6169" width="11.140625" style="132" customWidth="1"/>
    <col min="6170" max="6170" width="10.85546875" style="132" customWidth="1"/>
    <col min="6171" max="6171" width="10.640625" style="132" customWidth="1"/>
    <col min="6172" max="6173" width="7.140625" style="132" customWidth="1"/>
    <col min="6174" max="6399" width="9" style="132" customWidth="1"/>
    <col min="6400" max="6401" width="4.35546875" style="132"/>
    <col min="6402" max="6402" width="6.85546875" style="132" customWidth="1"/>
    <col min="6403" max="6403" width="8" style="132" customWidth="1"/>
    <col min="6404" max="6404" width="5.2109375" style="132" customWidth="1"/>
    <col min="6405" max="6405" width="20.640625" style="132" customWidth="1"/>
    <col min="6406" max="6406" width="17.7109375" style="132" customWidth="1"/>
    <col min="6407" max="6407" width="11.85546875" style="132" customWidth="1"/>
    <col min="6408" max="6408" width="3.85546875" style="132" customWidth="1"/>
    <col min="6409" max="6409" width="4.2109375" style="132" customWidth="1"/>
    <col min="6410" max="6410" width="4.140625" style="132" customWidth="1"/>
    <col min="6411" max="6411" width="4" style="132" customWidth="1"/>
    <col min="6412" max="6412" width="29.5" style="132" customWidth="1"/>
    <col min="6413" max="6413" width="14.640625" style="132" customWidth="1"/>
    <col min="6414" max="6414" width="12.2109375" style="132" customWidth="1"/>
    <col min="6415" max="6415" width="11.35546875" style="132" customWidth="1"/>
    <col min="6416" max="6417" width="8.7109375" style="132" customWidth="1"/>
    <col min="6418" max="6418" width="12" style="132" customWidth="1"/>
    <col min="6419" max="6419" width="11.2109375" style="132" customWidth="1"/>
    <col min="6420" max="6421" width="12.140625" style="132" customWidth="1"/>
    <col min="6422" max="6422" width="10.7109375" style="132" customWidth="1"/>
    <col min="6423" max="6423" width="11.140625" style="132" customWidth="1"/>
    <col min="6424" max="6424" width="11.640625" style="132" customWidth="1"/>
    <col min="6425" max="6425" width="11.140625" style="132" customWidth="1"/>
    <col min="6426" max="6426" width="10.85546875" style="132" customWidth="1"/>
    <col min="6427" max="6427" width="10.640625" style="132" customWidth="1"/>
    <col min="6428" max="6429" width="7.140625" style="132" customWidth="1"/>
    <col min="6430" max="6655" width="9" style="132" customWidth="1"/>
    <col min="6656" max="6657" width="4.35546875" style="132"/>
    <col min="6658" max="6658" width="6.85546875" style="132" customWidth="1"/>
    <col min="6659" max="6659" width="8" style="132" customWidth="1"/>
    <col min="6660" max="6660" width="5.2109375" style="132" customWidth="1"/>
    <col min="6661" max="6661" width="20.640625" style="132" customWidth="1"/>
    <col min="6662" max="6662" width="17.7109375" style="132" customWidth="1"/>
    <col min="6663" max="6663" width="11.85546875" style="132" customWidth="1"/>
    <col min="6664" max="6664" width="3.85546875" style="132" customWidth="1"/>
    <col min="6665" max="6665" width="4.2109375" style="132" customWidth="1"/>
    <col min="6666" max="6666" width="4.140625" style="132" customWidth="1"/>
    <col min="6667" max="6667" width="4" style="132" customWidth="1"/>
    <col min="6668" max="6668" width="29.5" style="132" customWidth="1"/>
    <col min="6669" max="6669" width="14.640625" style="132" customWidth="1"/>
    <col min="6670" max="6670" width="12.2109375" style="132" customWidth="1"/>
    <col min="6671" max="6671" width="11.35546875" style="132" customWidth="1"/>
    <col min="6672" max="6673" width="8.7109375" style="132" customWidth="1"/>
    <col min="6674" max="6674" width="12" style="132" customWidth="1"/>
    <col min="6675" max="6675" width="11.2109375" style="132" customWidth="1"/>
    <col min="6676" max="6677" width="12.140625" style="132" customWidth="1"/>
    <col min="6678" max="6678" width="10.7109375" style="132" customWidth="1"/>
    <col min="6679" max="6679" width="11.140625" style="132" customWidth="1"/>
    <col min="6680" max="6680" width="11.640625" style="132" customWidth="1"/>
    <col min="6681" max="6681" width="11.140625" style="132" customWidth="1"/>
    <col min="6682" max="6682" width="10.85546875" style="132" customWidth="1"/>
    <col min="6683" max="6683" width="10.640625" style="132" customWidth="1"/>
    <col min="6684" max="6685" width="7.140625" style="132" customWidth="1"/>
    <col min="6686" max="6911" width="9" style="132" customWidth="1"/>
    <col min="6912" max="6913" width="4.35546875" style="132"/>
    <col min="6914" max="6914" width="6.85546875" style="132" customWidth="1"/>
    <col min="6915" max="6915" width="8" style="132" customWidth="1"/>
    <col min="6916" max="6916" width="5.2109375" style="132" customWidth="1"/>
    <col min="6917" max="6917" width="20.640625" style="132" customWidth="1"/>
    <col min="6918" max="6918" width="17.7109375" style="132" customWidth="1"/>
    <col min="6919" max="6919" width="11.85546875" style="132" customWidth="1"/>
    <col min="6920" max="6920" width="3.85546875" style="132" customWidth="1"/>
    <col min="6921" max="6921" width="4.2109375" style="132" customWidth="1"/>
    <col min="6922" max="6922" width="4.140625" style="132" customWidth="1"/>
    <col min="6923" max="6923" width="4" style="132" customWidth="1"/>
    <col min="6924" max="6924" width="29.5" style="132" customWidth="1"/>
    <col min="6925" max="6925" width="14.640625" style="132" customWidth="1"/>
    <col min="6926" max="6926" width="12.2109375" style="132" customWidth="1"/>
    <col min="6927" max="6927" width="11.35546875" style="132" customWidth="1"/>
    <col min="6928" max="6929" width="8.7109375" style="132" customWidth="1"/>
    <col min="6930" max="6930" width="12" style="132" customWidth="1"/>
    <col min="6931" max="6931" width="11.2109375" style="132" customWidth="1"/>
    <col min="6932" max="6933" width="12.140625" style="132" customWidth="1"/>
    <col min="6934" max="6934" width="10.7109375" style="132" customWidth="1"/>
    <col min="6935" max="6935" width="11.140625" style="132" customWidth="1"/>
    <col min="6936" max="6936" width="11.640625" style="132" customWidth="1"/>
    <col min="6937" max="6937" width="11.140625" style="132" customWidth="1"/>
    <col min="6938" max="6938" width="10.85546875" style="132" customWidth="1"/>
    <col min="6939" max="6939" width="10.640625" style="132" customWidth="1"/>
    <col min="6940" max="6941" width="7.140625" style="132" customWidth="1"/>
    <col min="6942" max="7167" width="9" style="132" customWidth="1"/>
    <col min="7168" max="7169" width="4.35546875" style="132"/>
    <col min="7170" max="7170" width="6.85546875" style="132" customWidth="1"/>
    <col min="7171" max="7171" width="8" style="132" customWidth="1"/>
    <col min="7172" max="7172" width="5.2109375" style="132" customWidth="1"/>
    <col min="7173" max="7173" width="20.640625" style="132" customWidth="1"/>
    <col min="7174" max="7174" width="17.7109375" style="132" customWidth="1"/>
    <col min="7175" max="7175" width="11.85546875" style="132" customWidth="1"/>
    <col min="7176" max="7176" width="3.85546875" style="132" customWidth="1"/>
    <col min="7177" max="7177" width="4.2109375" style="132" customWidth="1"/>
    <col min="7178" max="7178" width="4.140625" style="132" customWidth="1"/>
    <col min="7179" max="7179" width="4" style="132" customWidth="1"/>
    <col min="7180" max="7180" width="29.5" style="132" customWidth="1"/>
    <col min="7181" max="7181" width="14.640625" style="132" customWidth="1"/>
    <col min="7182" max="7182" width="12.2109375" style="132" customWidth="1"/>
    <col min="7183" max="7183" width="11.35546875" style="132" customWidth="1"/>
    <col min="7184" max="7185" width="8.7109375" style="132" customWidth="1"/>
    <col min="7186" max="7186" width="12" style="132" customWidth="1"/>
    <col min="7187" max="7187" width="11.2109375" style="132" customWidth="1"/>
    <col min="7188" max="7189" width="12.140625" style="132" customWidth="1"/>
    <col min="7190" max="7190" width="10.7109375" style="132" customWidth="1"/>
    <col min="7191" max="7191" width="11.140625" style="132" customWidth="1"/>
    <col min="7192" max="7192" width="11.640625" style="132" customWidth="1"/>
    <col min="7193" max="7193" width="11.140625" style="132" customWidth="1"/>
    <col min="7194" max="7194" width="10.85546875" style="132" customWidth="1"/>
    <col min="7195" max="7195" width="10.640625" style="132" customWidth="1"/>
    <col min="7196" max="7197" width="7.140625" style="132" customWidth="1"/>
    <col min="7198" max="7423" width="9" style="132" customWidth="1"/>
    <col min="7424" max="7425" width="4.35546875" style="132"/>
    <col min="7426" max="7426" width="6.85546875" style="132" customWidth="1"/>
    <col min="7427" max="7427" width="8" style="132" customWidth="1"/>
    <col min="7428" max="7428" width="5.2109375" style="132" customWidth="1"/>
    <col min="7429" max="7429" width="20.640625" style="132" customWidth="1"/>
    <col min="7430" max="7430" width="17.7109375" style="132" customWidth="1"/>
    <col min="7431" max="7431" width="11.85546875" style="132" customWidth="1"/>
    <col min="7432" max="7432" width="3.85546875" style="132" customWidth="1"/>
    <col min="7433" max="7433" width="4.2109375" style="132" customWidth="1"/>
    <col min="7434" max="7434" width="4.140625" style="132" customWidth="1"/>
    <col min="7435" max="7435" width="4" style="132" customWidth="1"/>
    <col min="7436" max="7436" width="29.5" style="132" customWidth="1"/>
    <col min="7437" max="7437" width="14.640625" style="132" customWidth="1"/>
    <col min="7438" max="7438" width="12.2109375" style="132" customWidth="1"/>
    <col min="7439" max="7439" width="11.35546875" style="132" customWidth="1"/>
    <col min="7440" max="7441" width="8.7109375" style="132" customWidth="1"/>
    <col min="7442" max="7442" width="12" style="132" customWidth="1"/>
    <col min="7443" max="7443" width="11.2109375" style="132" customWidth="1"/>
    <col min="7444" max="7445" width="12.140625" style="132" customWidth="1"/>
    <col min="7446" max="7446" width="10.7109375" style="132" customWidth="1"/>
    <col min="7447" max="7447" width="11.140625" style="132" customWidth="1"/>
    <col min="7448" max="7448" width="11.640625" style="132" customWidth="1"/>
    <col min="7449" max="7449" width="11.140625" style="132" customWidth="1"/>
    <col min="7450" max="7450" width="10.85546875" style="132" customWidth="1"/>
    <col min="7451" max="7451" width="10.640625" style="132" customWidth="1"/>
    <col min="7452" max="7453" width="7.140625" style="132" customWidth="1"/>
    <col min="7454" max="7679" width="9" style="132" customWidth="1"/>
    <col min="7680" max="7681" width="4.35546875" style="132"/>
    <col min="7682" max="7682" width="6.85546875" style="132" customWidth="1"/>
    <col min="7683" max="7683" width="8" style="132" customWidth="1"/>
    <col min="7684" max="7684" width="5.2109375" style="132" customWidth="1"/>
    <col min="7685" max="7685" width="20.640625" style="132" customWidth="1"/>
    <col min="7686" max="7686" width="17.7109375" style="132" customWidth="1"/>
    <col min="7687" max="7687" width="11.85546875" style="132" customWidth="1"/>
    <col min="7688" max="7688" width="3.85546875" style="132" customWidth="1"/>
    <col min="7689" max="7689" width="4.2109375" style="132" customWidth="1"/>
    <col min="7690" max="7690" width="4.140625" style="132" customWidth="1"/>
    <col min="7691" max="7691" width="4" style="132" customWidth="1"/>
    <col min="7692" max="7692" width="29.5" style="132" customWidth="1"/>
    <col min="7693" max="7693" width="14.640625" style="132" customWidth="1"/>
    <col min="7694" max="7694" width="12.2109375" style="132" customWidth="1"/>
    <col min="7695" max="7695" width="11.35546875" style="132" customWidth="1"/>
    <col min="7696" max="7697" width="8.7109375" style="132" customWidth="1"/>
    <col min="7698" max="7698" width="12" style="132" customWidth="1"/>
    <col min="7699" max="7699" width="11.2109375" style="132" customWidth="1"/>
    <col min="7700" max="7701" width="12.140625" style="132" customWidth="1"/>
    <col min="7702" max="7702" width="10.7109375" style="132" customWidth="1"/>
    <col min="7703" max="7703" width="11.140625" style="132" customWidth="1"/>
    <col min="7704" max="7704" width="11.640625" style="132" customWidth="1"/>
    <col min="7705" max="7705" width="11.140625" style="132" customWidth="1"/>
    <col min="7706" max="7706" width="10.85546875" style="132" customWidth="1"/>
    <col min="7707" max="7707" width="10.640625" style="132" customWidth="1"/>
    <col min="7708" max="7709" width="7.140625" style="132" customWidth="1"/>
    <col min="7710" max="7935" width="9" style="132" customWidth="1"/>
    <col min="7936" max="7937" width="4.35546875" style="132"/>
    <col min="7938" max="7938" width="6.85546875" style="132" customWidth="1"/>
    <col min="7939" max="7939" width="8" style="132" customWidth="1"/>
    <col min="7940" max="7940" width="5.2109375" style="132" customWidth="1"/>
    <col min="7941" max="7941" width="20.640625" style="132" customWidth="1"/>
    <col min="7942" max="7942" width="17.7109375" style="132" customWidth="1"/>
    <col min="7943" max="7943" width="11.85546875" style="132" customWidth="1"/>
    <col min="7944" max="7944" width="3.85546875" style="132" customWidth="1"/>
    <col min="7945" max="7945" width="4.2109375" style="132" customWidth="1"/>
    <col min="7946" max="7946" width="4.140625" style="132" customWidth="1"/>
    <col min="7947" max="7947" width="4" style="132" customWidth="1"/>
    <col min="7948" max="7948" width="29.5" style="132" customWidth="1"/>
    <col min="7949" max="7949" width="14.640625" style="132" customWidth="1"/>
    <col min="7950" max="7950" width="12.2109375" style="132" customWidth="1"/>
    <col min="7951" max="7951" width="11.35546875" style="132" customWidth="1"/>
    <col min="7952" max="7953" width="8.7109375" style="132" customWidth="1"/>
    <col min="7954" max="7954" width="12" style="132" customWidth="1"/>
    <col min="7955" max="7955" width="11.2109375" style="132" customWidth="1"/>
    <col min="7956" max="7957" width="12.140625" style="132" customWidth="1"/>
    <col min="7958" max="7958" width="10.7109375" style="132" customWidth="1"/>
    <col min="7959" max="7959" width="11.140625" style="132" customWidth="1"/>
    <col min="7960" max="7960" width="11.640625" style="132" customWidth="1"/>
    <col min="7961" max="7961" width="11.140625" style="132" customWidth="1"/>
    <col min="7962" max="7962" width="10.85546875" style="132" customWidth="1"/>
    <col min="7963" max="7963" width="10.640625" style="132" customWidth="1"/>
    <col min="7964" max="7965" width="7.140625" style="132" customWidth="1"/>
    <col min="7966" max="8191" width="9" style="132" customWidth="1"/>
    <col min="8192" max="8193" width="4.35546875" style="132"/>
    <col min="8194" max="8194" width="6.85546875" style="132" customWidth="1"/>
    <col min="8195" max="8195" width="8" style="132" customWidth="1"/>
    <col min="8196" max="8196" width="5.2109375" style="132" customWidth="1"/>
    <col min="8197" max="8197" width="20.640625" style="132" customWidth="1"/>
    <col min="8198" max="8198" width="17.7109375" style="132" customWidth="1"/>
    <col min="8199" max="8199" width="11.85546875" style="132" customWidth="1"/>
    <col min="8200" max="8200" width="3.85546875" style="132" customWidth="1"/>
    <col min="8201" max="8201" width="4.2109375" style="132" customWidth="1"/>
    <col min="8202" max="8202" width="4.140625" style="132" customWidth="1"/>
    <col min="8203" max="8203" width="4" style="132" customWidth="1"/>
    <col min="8204" max="8204" width="29.5" style="132" customWidth="1"/>
    <col min="8205" max="8205" width="14.640625" style="132" customWidth="1"/>
    <col min="8206" max="8206" width="12.2109375" style="132" customWidth="1"/>
    <col min="8207" max="8207" width="11.35546875" style="132" customWidth="1"/>
    <col min="8208" max="8209" width="8.7109375" style="132" customWidth="1"/>
    <col min="8210" max="8210" width="12" style="132" customWidth="1"/>
    <col min="8211" max="8211" width="11.2109375" style="132" customWidth="1"/>
    <col min="8212" max="8213" width="12.140625" style="132" customWidth="1"/>
    <col min="8214" max="8214" width="10.7109375" style="132" customWidth="1"/>
    <col min="8215" max="8215" width="11.140625" style="132" customWidth="1"/>
    <col min="8216" max="8216" width="11.640625" style="132" customWidth="1"/>
    <col min="8217" max="8217" width="11.140625" style="132" customWidth="1"/>
    <col min="8218" max="8218" width="10.85546875" style="132" customWidth="1"/>
    <col min="8219" max="8219" width="10.640625" style="132" customWidth="1"/>
    <col min="8220" max="8221" width="7.140625" style="132" customWidth="1"/>
    <col min="8222" max="8447" width="9" style="132" customWidth="1"/>
    <col min="8448" max="8449" width="4.35546875" style="132"/>
    <col min="8450" max="8450" width="6.85546875" style="132" customWidth="1"/>
    <col min="8451" max="8451" width="8" style="132" customWidth="1"/>
    <col min="8452" max="8452" width="5.2109375" style="132" customWidth="1"/>
    <col min="8453" max="8453" width="20.640625" style="132" customWidth="1"/>
    <col min="8454" max="8454" width="17.7109375" style="132" customWidth="1"/>
    <col min="8455" max="8455" width="11.85546875" style="132" customWidth="1"/>
    <col min="8456" max="8456" width="3.85546875" style="132" customWidth="1"/>
    <col min="8457" max="8457" width="4.2109375" style="132" customWidth="1"/>
    <col min="8458" max="8458" width="4.140625" style="132" customWidth="1"/>
    <col min="8459" max="8459" width="4" style="132" customWidth="1"/>
    <col min="8460" max="8460" width="29.5" style="132" customWidth="1"/>
    <col min="8461" max="8461" width="14.640625" style="132" customWidth="1"/>
    <col min="8462" max="8462" width="12.2109375" style="132" customWidth="1"/>
    <col min="8463" max="8463" width="11.35546875" style="132" customWidth="1"/>
    <col min="8464" max="8465" width="8.7109375" style="132" customWidth="1"/>
    <col min="8466" max="8466" width="12" style="132" customWidth="1"/>
    <col min="8467" max="8467" width="11.2109375" style="132" customWidth="1"/>
    <col min="8468" max="8469" width="12.140625" style="132" customWidth="1"/>
    <col min="8470" max="8470" width="10.7109375" style="132" customWidth="1"/>
    <col min="8471" max="8471" width="11.140625" style="132" customWidth="1"/>
    <col min="8472" max="8472" width="11.640625" style="132" customWidth="1"/>
    <col min="8473" max="8473" width="11.140625" style="132" customWidth="1"/>
    <col min="8474" max="8474" width="10.85546875" style="132" customWidth="1"/>
    <col min="8475" max="8475" width="10.640625" style="132" customWidth="1"/>
    <col min="8476" max="8477" width="7.140625" style="132" customWidth="1"/>
    <col min="8478" max="8703" width="9" style="132" customWidth="1"/>
    <col min="8704" max="8705" width="4.35546875" style="132"/>
    <col min="8706" max="8706" width="6.85546875" style="132" customWidth="1"/>
    <col min="8707" max="8707" width="8" style="132" customWidth="1"/>
    <col min="8708" max="8708" width="5.2109375" style="132" customWidth="1"/>
    <col min="8709" max="8709" width="20.640625" style="132" customWidth="1"/>
    <col min="8710" max="8710" width="17.7109375" style="132" customWidth="1"/>
    <col min="8711" max="8711" width="11.85546875" style="132" customWidth="1"/>
    <col min="8712" max="8712" width="3.85546875" style="132" customWidth="1"/>
    <col min="8713" max="8713" width="4.2109375" style="132" customWidth="1"/>
    <col min="8714" max="8714" width="4.140625" style="132" customWidth="1"/>
    <col min="8715" max="8715" width="4" style="132" customWidth="1"/>
    <col min="8716" max="8716" width="29.5" style="132" customWidth="1"/>
    <col min="8717" max="8717" width="14.640625" style="132" customWidth="1"/>
    <col min="8718" max="8718" width="12.2109375" style="132" customWidth="1"/>
    <col min="8719" max="8719" width="11.35546875" style="132" customWidth="1"/>
    <col min="8720" max="8721" width="8.7109375" style="132" customWidth="1"/>
    <col min="8722" max="8722" width="12" style="132" customWidth="1"/>
    <col min="8723" max="8723" width="11.2109375" style="132" customWidth="1"/>
    <col min="8724" max="8725" width="12.140625" style="132" customWidth="1"/>
    <col min="8726" max="8726" width="10.7109375" style="132" customWidth="1"/>
    <col min="8727" max="8727" width="11.140625" style="132" customWidth="1"/>
    <col min="8728" max="8728" width="11.640625" style="132" customWidth="1"/>
    <col min="8729" max="8729" width="11.140625" style="132" customWidth="1"/>
    <col min="8730" max="8730" width="10.85546875" style="132" customWidth="1"/>
    <col min="8731" max="8731" width="10.640625" style="132" customWidth="1"/>
    <col min="8732" max="8733" width="7.140625" style="132" customWidth="1"/>
    <col min="8734" max="8959" width="9" style="132" customWidth="1"/>
    <col min="8960" max="8961" width="4.35546875" style="132"/>
    <col min="8962" max="8962" width="6.85546875" style="132" customWidth="1"/>
    <col min="8963" max="8963" width="8" style="132" customWidth="1"/>
    <col min="8964" max="8964" width="5.2109375" style="132" customWidth="1"/>
    <col min="8965" max="8965" width="20.640625" style="132" customWidth="1"/>
    <col min="8966" max="8966" width="17.7109375" style="132" customWidth="1"/>
    <col min="8967" max="8967" width="11.85546875" style="132" customWidth="1"/>
    <col min="8968" max="8968" width="3.85546875" style="132" customWidth="1"/>
    <col min="8969" max="8969" width="4.2109375" style="132" customWidth="1"/>
    <col min="8970" max="8970" width="4.140625" style="132" customWidth="1"/>
    <col min="8971" max="8971" width="4" style="132" customWidth="1"/>
    <col min="8972" max="8972" width="29.5" style="132" customWidth="1"/>
    <col min="8973" max="8973" width="14.640625" style="132" customWidth="1"/>
    <col min="8974" max="8974" width="12.2109375" style="132" customWidth="1"/>
    <col min="8975" max="8975" width="11.35546875" style="132" customWidth="1"/>
    <col min="8976" max="8977" width="8.7109375" style="132" customWidth="1"/>
    <col min="8978" max="8978" width="12" style="132" customWidth="1"/>
    <col min="8979" max="8979" width="11.2109375" style="132" customWidth="1"/>
    <col min="8980" max="8981" width="12.140625" style="132" customWidth="1"/>
    <col min="8982" max="8982" width="10.7109375" style="132" customWidth="1"/>
    <col min="8983" max="8983" width="11.140625" style="132" customWidth="1"/>
    <col min="8984" max="8984" width="11.640625" style="132" customWidth="1"/>
    <col min="8985" max="8985" width="11.140625" style="132" customWidth="1"/>
    <col min="8986" max="8986" width="10.85546875" style="132" customWidth="1"/>
    <col min="8987" max="8987" width="10.640625" style="132" customWidth="1"/>
    <col min="8988" max="8989" width="7.140625" style="132" customWidth="1"/>
    <col min="8990" max="9215" width="9" style="132" customWidth="1"/>
    <col min="9216" max="9217" width="4.35546875" style="132"/>
    <col min="9218" max="9218" width="6.85546875" style="132" customWidth="1"/>
    <col min="9219" max="9219" width="8" style="132" customWidth="1"/>
    <col min="9220" max="9220" width="5.2109375" style="132" customWidth="1"/>
    <col min="9221" max="9221" width="20.640625" style="132" customWidth="1"/>
    <col min="9222" max="9222" width="17.7109375" style="132" customWidth="1"/>
    <col min="9223" max="9223" width="11.85546875" style="132" customWidth="1"/>
    <col min="9224" max="9224" width="3.85546875" style="132" customWidth="1"/>
    <col min="9225" max="9225" width="4.2109375" style="132" customWidth="1"/>
    <col min="9226" max="9226" width="4.140625" style="132" customWidth="1"/>
    <col min="9227" max="9227" width="4" style="132" customWidth="1"/>
    <col min="9228" max="9228" width="29.5" style="132" customWidth="1"/>
    <col min="9229" max="9229" width="14.640625" style="132" customWidth="1"/>
    <col min="9230" max="9230" width="12.2109375" style="132" customWidth="1"/>
    <col min="9231" max="9231" width="11.35546875" style="132" customWidth="1"/>
    <col min="9232" max="9233" width="8.7109375" style="132" customWidth="1"/>
    <col min="9234" max="9234" width="12" style="132" customWidth="1"/>
    <col min="9235" max="9235" width="11.2109375" style="132" customWidth="1"/>
    <col min="9236" max="9237" width="12.140625" style="132" customWidth="1"/>
    <col min="9238" max="9238" width="10.7109375" style="132" customWidth="1"/>
    <col min="9239" max="9239" width="11.140625" style="132" customWidth="1"/>
    <col min="9240" max="9240" width="11.640625" style="132" customWidth="1"/>
    <col min="9241" max="9241" width="11.140625" style="132" customWidth="1"/>
    <col min="9242" max="9242" width="10.85546875" style="132" customWidth="1"/>
    <col min="9243" max="9243" width="10.640625" style="132" customWidth="1"/>
    <col min="9244" max="9245" width="7.140625" style="132" customWidth="1"/>
    <col min="9246" max="9471" width="9" style="132" customWidth="1"/>
    <col min="9472" max="9473" width="4.35546875" style="132"/>
    <col min="9474" max="9474" width="6.85546875" style="132" customWidth="1"/>
    <col min="9475" max="9475" width="8" style="132" customWidth="1"/>
    <col min="9476" max="9476" width="5.2109375" style="132" customWidth="1"/>
    <col min="9477" max="9477" width="20.640625" style="132" customWidth="1"/>
    <col min="9478" max="9478" width="17.7109375" style="132" customWidth="1"/>
    <col min="9479" max="9479" width="11.85546875" style="132" customWidth="1"/>
    <col min="9480" max="9480" width="3.85546875" style="132" customWidth="1"/>
    <col min="9481" max="9481" width="4.2109375" style="132" customWidth="1"/>
    <col min="9482" max="9482" width="4.140625" style="132" customWidth="1"/>
    <col min="9483" max="9483" width="4" style="132" customWidth="1"/>
    <col min="9484" max="9484" width="29.5" style="132" customWidth="1"/>
    <col min="9485" max="9485" width="14.640625" style="132" customWidth="1"/>
    <col min="9486" max="9486" width="12.2109375" style="132" customWidth="1"/>
    <col min="9487" max="9487" width="11.35546875" style="132" customWidth="1"/>
    <col min="9488" max="9489" width="8.7109375" style="132" customWidth="1"/>
    <col min="9490" max="9490" width="12" style="132" customWidth="1"/>
    <col min="9491" max="9491" width="11.2109375" style="132" customWidth="1"/>
    <col min="9492" max="9493" width="12.140625" style="132" customWidth="1"/>
    <col min="9494" max="9494" width="10.7109375" style="132" customWidth="1"/>
    <col min="9495" max="9495" width="11.140625" style="132" customWidth="1"/>
    <col min="9496" max="9496" width="11.640625" style="132" customWidth="1"/>
    <col min="9497" max="9497" width="11.140625" style="132" customWidth="1"/>
    <col min="9498" max="9498" width="10.85546875" style="132" customWidth="1"/>
    <col min="9499" max="9499" width="10.640625" style="132" customWidth="1"/>
    <col min="9500" max="9501" width="7.140625" style="132" customWidth="1"/>
    <col min="9502" max="9727" width="9" style="132" customWidth="1"/>
    <col min="9728" max="9729" width="4.35546875" style="132"/>
    <col min="9730" max="9730" width="6.85546875" style="132" customWidth="1"/>
    <col min="9731" max="9731" width="8" style="132" customWidth="1"/>
    <col min="9732" max="9732" width="5.2109375" style="132" customWidth="1"/>
    <col min="9733" max="9733" width="20.640625" style="132" customWidth="1"/>
    <col min="9734" max="9734" width="17.7109375" style="132" customWidth="1"/>
    <col min="9735" max="9735" width="11.85546875" style="132" customWidth="1"/>
    <col min="9736" max="9736" width="3.85546875" style="132" customWidth="1"/>
    <col min="9737" max="9737" width="4.2109375" style="132" customWidth="1"/>
    <col min="9738" max="9738" width="4.140625" style="132" customWidth="1"/>
    <col min="9739" max="9739" width="4" style="132" customWidth="1"/>
    <col min="9740" max="9740" width="29.5" style="132" customWidth="1"/>
    <col min="9741" max="9741" width="14.640625" style="132" customWidth="1"/>
    <col min="9742" max="9742" width="12.2109375" style="132" customWidth="1"/>
    <col min="9743" max="9743" width="11.35546875" style="132" customWidth="1"/>
    <col min="9744" max="9745" width="8.7109375" style="132" customWidth="1"/>
    <col min="9746" max="9746" width="12" style="132" customWidth="1"/>
    <col min="9747" max="9747" width="11.2109375" style="132" customWidth="1"/>
    <col min="9748" max="9749" width="12.140625" style="132" customWidth="1"/>
    <col min="9750" max="9750" width="10.7109375" style="132" customWidth="1"/>
    <col min="9751" max="9751" width="11.140625" style="132" customWidth="1"/>
    <col min="9752" max="9752" width="11.640625" style="132" customWidth="1"/>
    <col min="9753" max="9753" width="11.140625" style="132" customWidth="1"/>
    <col min="9754" max="9754" width="10.85546875" style="132" customWidth="1"/>
    <col min="9755" max="9755" width="10.640625" style="132" customWidth="1"/>
    <col min="9756" max="9757" width="7.140625" style="132" customWidth="1"/>
    <col min="9758" max="9983" width="9" style="132" customWidth="1"/>
    <col min="9984" max="9985" width="4.35546875" style="132"/>
    <col min="9986" max="9986" width="6.85546875" style="132" customWidth="1"/>
    <col min="9987" max="9987" width="8" style="132" customWidth="1"/>
    <col min="9988" max="9988" width="5.2109375" style="132" customWidth="1"/>
    <col min="9989" max="9989" width="20.640625" style="132" customWidth="1"/>
    <col min="9990" max="9990" width="17.7109375" style="132" customWidth="1"/>
    <col min="9991" max="9991" width="11.85546875" style="132" customWidth="1"/>
    <col min="9992" max="9992" width="3.85546875" style="132" customWidth="1"/>
    <col min="9993" max="9993" width="4.2109375" style="132" customWidth="1"/>
    <col min="9994" max="9994" width="4.140625" style="132" customWidth="1"/>
    <col min="9995" max="9995" width="4" style="132" customWidth="1"/>
    <col min="9996" max="9996" width="29.5" style="132" customWidth="1"/>
    <col min="9997" max="9997" width="14.640625" style="132" customWidth="1"/>
    <col min="9998" max="9998" width="12.2109375" style="132" customWidth="1"/>
    <col min="9999" max="9999" width="11.35546875" style="132" customWidth="1"/>
    <col min="10000" max="10001" width="8.7109375" style="132" customWidth="1"/>
    <col min="10002" max="10002" width="12" style="132" customWidth="1"/>
    <col min="10003" max="10003" width="11.2109375" style="132" customWidth="1"/>
    <col min="10004" max="10005" width="12.140625" style="132" customWidth="1"/>
    <col min="10006" max="10006" width="10.7109375" style="132" customWidth="1"/>
    <col min="10007" max="10007" width="11.140625" style="132" customWidth="1"/>
    <col min="10008" max="10008" width="11.640625" style="132" customWidth="1"/>
    <col min="10009" max="10009" width="11.140625" style="132" customWidth="1"/>
    <col min="10010" max="10010" width="10.85546875" style="132" customWidth="1"/>
    <col min="10011" max="10011" width="10.640625" style="132" customWidth="1"/>
    <col min="10012" max="10013" width="7.140625" style="132" customWidth="1"/>
    <col min="10014" max="10239" width="9" style="132" customWidth="1"/>
    <col min="10240" max="10241" width="4.35546875" style="132"/>
    <col min="10242" max="10242" width="6.85546875" style="132" customWidth="1"/>
    <col min="10243" max="10243" width="8" style="132" customWidth="1"/>
    <col min="10244" max="10244" width="5.2109375" style="132" customWidth="1"/>
    <col min="10245" max="10245" width="20.640625" style="132" customWidth="1"/>
    <col min="10246" max="10246" width="17.7109375" style="132" customWidth="1"/>
    <col min="10247" max="10247" width="11.85546875" style="132" customWidth="1"/>
    <col min="10248" max="10248" width="3.85546875" style="132" customWidth="1"/>
    <col min="10249" max="10249" width="4.2109375" style="132" customWidth="1"/>
    <col min="10250" max="10250" width="4.140625" style="132" customWidth="1"/>
    <col min="10251" max="10251" width="4" style="132" customWidth="1"/>
    <col min="10252" max="10252" width="29.5" style="132" customWidth="1"/>
    <col min="10253" max="10253" width="14.640625" style="132" customWidth="1"/>
    <col min="10254" max="10254" width="12.2109375" style="132" customWidth="1"/>
    <col min="10255" max="10255" width="11.35546875" style="132" customWidth="1"/>
    <col min="10256" max="10257" width="8.7109375" style="132" customWidth="1"/>
    <col min="10258" max="10258" width="12" style="132" customWidth="1"/>
    <col min="10259" max="10259" width="11.2109375" style="132" customWidth="1"/>
    <col min="10260" max="10261" width="12.140625" style="132" customWidth="1"/>
    <col min="10262" max="10262" width="10.7109375" style="132" customWidth="1"/>
    <col min="10263" max="10263" width="11.140625" style="132" customWidth="1"/>
    <col min="10264" max="10264" width="11.640625" style="132" customWidth="1"/>
    <col min="10265" max="10265" width="11.140625" style="132" customWidth="1"/>
    <col min="10266" max="10266" width="10.85546875" style="132" customWidth="1"/>
    <col min="10267" max="10267" width="10.640625" style="132" customWidth="1"/>
    <col min="10268" max="10269" width="7.140625" style="132" customWidth="1"/>
    <col min="10270" max="10495" width="9" style="132" customWidth="1"/>
    <col min="10496" max="10497" width="4.35546875" style="132"/>
    <col min="10498" max="10498" width="6.85546875" style="132" customWidth="1"/>
    <col min="10499" max="10499" width="8" style="132" customWidth="1"/>
    <col min="10500" max="10500" width="5.2109375" style="132" customWidth="1"/>
    <col min="10501" max="10501" width="20.640625" style="132" customWidth="1"/>
    <col min="10502" max="10502" width="17.7109375" style="132" customWidth="1"/>
    <col min="10503" max="10503" width="11.85546875" style="132" customWidth="1"/>
    <col min="10504" max="10504" width="3.85546875" style="132" customWidth="1"/>
    <col min="10505" max="10505" width="4.2109375" style="132" customWidth="1"/>
    <col min="10506" max="10506" width="4.140625" style="132" customWidth="1"/>
    <col min="10507" max="10507" width="4" style="132" customWidth="1"/>
    <col min="10508" max="10508" width="29.5" style="132" customWidth="1"/>
    <col min="10509" max="10509" width="14.640625" style="132" customWidth="1"/>
    <col min="10510" max="10510" width="12.2109375" style="132" customWidth="1"/>
    <col min="10511" max="10511" width="11.35546875" style="132" customWidth="1"/>
    <col min="10512" max="10513" width="8.7109375" style="132" customWidth="1"/>
    <col min="10514" max="10514" width="12" style="132" customWidth="1"/>
    <col min="10515" max="10515" width="11.2109375" style="132" customWidth="1"/>
    <col min="10516" max="10517" width="12.140625" style="132" customWidth="1"/>
    <col min="10518" max="10518" width="10.7109375" style="132" customWidth="1"/>
    <col min="10519" max="10519" width="11.140625" style="132" customWidth="1"/>
    <col min="10520" max="10520" width="11.640625" style="132" customWidth="1"/>
    <col min="10521" max="10521" width="11.140625" style="132" customWidth="1"/>
    <col min="10522" max="10522" width="10.85546875" style="132" customWidth="1"/>
    <col min="10523" max="10523" width="10.640625" style="132" customWidth="1"/>
    <col min="10524" max="10525" width="7.140625" style="132" customWidth="1"/>
    <col min="10526" max="10751" width="9" style="132" customWidth="1"/>
    <col min="10752" max="10753" width="4.35546875" style="132"/>
    <col min="10754" max="10754" width="6.85546875" style="132" customWidth="1"/>
    <col min="10755" max="10755" width="8" style="132" customWidth="1"/>
    <col min="10756" max="10756" width="5.2109375" style="132" customWidth="1"/>
    <col min="10757" max="10757" width="20.640625" style="132" customWidth="1"/>
    <col min="10758" max="10758" width="17.7109375" style="132" customWidth="1"/>
    <col min="10759" max="10759" width="11.85546875" style="132" customWidth="1"/>
    <col min="10760" max="10760" width="3.85546875" style="132" customWidth="1"/>
    <col min="10761" max="10761" width="4.2109375" style="132" customWidth="1"/>
    <col min="10762" max="10762" width="4.140625" style="132" customWidth="1"/>
    <col min="10763" max="10763" width="4" style="132" customWidth="1"/>
    <col min="10764" max="10764" width="29.5" style="132" customWidth="1"/>
    <col min="10765" max="10765" width="14.640625" style="132" customWidth="1"/>
    <col min="10766" max="10766" width="12.2109375" style="132" customWidth="1"/>
    <col min="10767" max="10767" width="11.35546875" style="132" customWidth="1"/>
    <col min="10768" max="10769" width="8.7109375" style="132" customWidth="1"/>
    <col min="10770" max="10770" width="12" style="132" customWidth="1"/>
    <col min="10771" max="10771" width="11.2109375" style="132" customWidth="1"/>
    <col min="10772" max="10773" width="12.140625" style="132" customWidth="1"/>
    <col min="10774" max="10774" width="10.7109375" style="132" customWidth="1"/>
    <col min="10775" max="10775" width="11.140625" style="132" customWidth="1"/>
    <col min="10776" max="10776" width="11.640625" style="132" customWidth="1"/>
    <col min="10777" max="10777" width="11.140625" style="132" customWidth="1"/>
    <col min="10778" max="10778" width="10.85546875" style="132" customWidth="1"/>
    <col min="10779" max="10779" width="10.640625" style="132" customWidth="1"/>
    <col min="10780" max="10781" width="7.140625" style="132" customWidth="1"/>
    <col min="10782" max="11007" width="9" style="132" customWidth="1"/>
    <col min="11008" max="11009" width="4.35546875" style="132"/>
    <col min="11010" max="11010" width="6.85546875" style="132" customWidth="1"/>
    <col min="11011" max="11011" width="8" style="132" customWidth="1"/>
    <col min="11012" max="11012" width="5.2109375" style="132" customWidth="1"/>
    <col min="11013" max="11013" width="20.640625" style="132" customWidth="1"/>
    <col min="11014" max="11014" width="17.7109375" style="132" customWidth="1"/>
    <col min="11015" max="11015" width="11.85546875" style="132" customWidth="1"/>
    <col min="11016" max="11016" width="3.85546875" style="132" customWidth="1"/>
    <col min="11017" max="11017" width="4.2109375" style="132" customWidth="1"/>
    <col min="11018" max="11018" width="4.140625" style="132" customWidth="1"/>
    <col min="11019" max="11019" width="4" style="132" customWidth="1"/>
    <col min="11020" max="11020" width="29.5" style="132" customWidth="1"/>
    <col min="11021" max="11021" width="14.640625" style="132" customWidth="1"/>
    <col min="11022" max="11022" width="12.2109375" style="132" customWidth="1"/>
    <col min="11023" max="11023" width="11.35546875" style="132" customWidth="1"/>
    <col min="11024" max="11025" width="8.7109375" style="132" customWidth="1"/>
    <col min="11026" max="11026" width="12" style="132" customWidth="1"/>
    <col min="11027" max="11027" width="11.2109375" style="132" customWidth="1"/>
    <col min="11028" max="11029" width="12.140625" style="132" customWidth="1"/>
    <col min="11030" max="11030" width="10.7109375" style="132" customWidth="1"/>
    <col min="11031" max="11031" width="11.140625" style="132" customWidth="1"/>
    <col min="11032" max="11032" width="11.640625" style="132" customWidth="1"/>
    <col min="11033" max="11033" width="11.140625" style="132" customWidth="1"/>
    <col min="11034" max="11034" width="10.85546875" style="132" customWidth="1"/>
    <col min="11035" max="11035" width="10.640625" style="132" customWidth="1"/>
    <col min="11036" max="11037" width="7.140625" style="132" customWidth="1"/>
    <col min="11038" max="11263" width="9" style="132" customWidth="1"/>
    <col min="11264" max="11265" width="4.35546875" style="132"/>
    <col min="11266" max="11266" width="6.85546875" style="132" customWidth="1"/>
    <col min="11267" max="11267" width="8" style="132" customWidth="1"/>
    <col min="11268" max="11268" width="5.2109375" style="132" customWidth="1"/>
    <col min="11269" max="11269" width="20.640625" style="132" customWidth="1"/>
    <col min="11270" max="11270" width="17.7109375" style="132" customWidth="1"/>
    <col min="11271" max="11271" width="11.85546875" style="132" customWidth="1"/>
    <col min="11272" max="11272" width="3.85546875" style="132" customWidth="1"/>
    <col min="11273" max="11273" width="4.2109375" style="132" customWidth="1"/>
    <col min="11274" max="11274" width="4.140625" style="132" customWidth="1"/>
    <col min="11275" max="11275" width="4" style="132" customWidth="1"/>
    <col min="11276" max="11276" width="29.5" style="132" customWidth="1"/>
    <col min="11277" max="11277" width="14.640625" style="132" customWidth="1"/>
    <col min="11278" max="11278" width="12.2109375" style="132" customWidth="1"/>
    <col min="11279" max="11279" width="11.35546875" style="132" customWidth="1"/>
    <col min="11280" max="11281" width="8.7109375" style="132" customWidth="1"/>
    <col min="11282" max="11282" width="12" style="132" customWidth="1"/>
    <col min="11283" max="11283" width="11.2109375" style="132" customWidth="1"/>
    <col min="11284" max="11285" width="12.140625" style="132" customWidth="1"/>
    <col min="11286" max="11286" width="10.7109375" style="132" customWidth="1"/>
    <col min="11287" max="11287" width="11.140625" style="132" customWidth="1"/>
    <col min="11288" max="11288" width="11.640625" style="132" customWidth="1"/>
    <col min="11289" max="11289" width="11.140625" style="132" customWidth="1"/>
    <col min="11290" max="11290" width="10.85546875" style="132" customWidth="1"/>
    <col min="11291" max="11291" width="10.640625" style="132" customWidth="1"/>
    <col min="11292" max="11293" width="7.140625" style="132" customWidth="1"/>
    <col min="11294" max="11519" width="9" style="132" customWidth="1"/>
    <col min="11520" max="11521" width="4.35546875" style="132"/>
    <col min="11522" max="11522" width="6.85546875" style="132" customWidth="1"/>
    <col min="11523" max="11523" width="8" style="132" customWidth="1"/>
    <col min="11524" max="11524" width="5.2109375" style="132" customWidth="1"/>
    <col min="11525" max="11525" width="20.640625" style="132" customWidth="1"/>
    <col min="11526" max="11526" width="17.7109375" style="132" customWidth="1"/>
    <col min="11527" max="11527" width="11.85546875" style="132" customWidth="1"/>
    <col min="11528" max="11528" width="3.85546875" style="132" customWidth="1"/>
    <col min="11529" max="11529" width="4.2109375" style="132" customWidth="1"/>
    <col min="11530" max="11530" width="4.140625" style="132" customWidth="1"/>
    <col min="11531" max="11531" width="4" style="132" customWidth="1"/>
    <col min="11532" max="11532" width="29.5" style="132" customWidth="1"/>
    <col min="11533" max="11533" width="14.640625" style="132" customWidth="1"/>
    <col min="11534" max="11534" width="12.2109375" style="132" customWidth="1"/>
    <col min="11535" max="11535" width="11.35546875" style="132" customWidth="1"/>
    <col min="11536" max="11537" width="8.7109375" style="132" customWidth="1"/>
    <col min="11538" max="11538" width="12" style="132" customWidth="1"/>
    <col min="11539" max="11539" width="11.2109375" style="132" customWidth="1"/>
    <col min="11540" max="11541" width="12.140625" style="132" customWidth="1"/>
    <col min="11542" max="11542" width="10.7109375" style="132" customWidth="1"/>
    <col min="11543" max="11543" width="11.140625" style="132" customWidth="1"/>
    <col min="11544" max="11544" width="11.640625" style="132" customWidth="1"/>
    <col min="11545" max="11545" width="11.140625" style="132" customWidth="1"/>
    <col min="11546" max="11546" width="10.85546875" style="132" customWidth="1"/>
    <col min="11547" max="11547" width="10.640625" style="132" customWidth="1"/>
    <col min="11548" max="11549" width="7.140625" style="132" customWidth="1"/>
    <col min="11550" max="11775" width="9" style="132" customWidth="1"/>
    <col min="11776" max="11777" width="4.35546875" style="132"/>
    <col min="11778" max="11778" width="6.85546875" style="132" customWidth="1"/>
    <col min="11779" max="11779" width="8" style="132" customWidth="1"/>
    <col min="11780" max="11780" width="5.2109375" style="132" customWidth="1"/>
    <col min="11781" max="11781" width="20.640625" style="132" customWidth="1"/>
    <col min="11782" max="11782" width="17.7109375" style="132" customWidth="1"/>
    <col min="11783" max="11783" width="11.85546875" style="132" customWidth="1"/>
    <col min="11784" max="11784" width="3.85546875" style="132" customWidth="1"/>
    <col min="11785" max="11785" width="4.2109375" style="132" customWidth="1"/>
    <col min="11786" max="11786" width="4.140625" style="132" customWidth="1"/>
    <col min="11787" max="11787" width="4" style="132" customWidth="1"/>
    <col min="11788" max="11788" width="29.5" style="132" customWidth="1"/>
    <col min="11789" max="11789" width="14.640625" style="132" customWidth="1"/>
    <col min="11790" max="11790" width="12.2109375" style="132" customWidth="1"/>
    <col min="11791" max="11791" width="11.35546875" style="132" customWidth="1"/>
    <col min="11792" max="11793" width="8.7109375" style="132" customWidth="1"/>
    <col min="11794" max="11794" width="12" style="132" customWidth="1"/>
    <col min="11795" max="11795" width="11.2109375" style="132" customWidth="1"/>
    <col min="11796" max="11797" width="12.140625" style="132" customWidth="1"/>
    <col min="11798" max="11798" width="10.7109375" style="132" customWidth="1"/>
    <col min="11799" max="11799" width="11.140625" style="132" customWidth="1"/>
    <col min="11800" max="11800" width="11.640625" style="132" customWidth="1"/>
    <col min="11801" max="11801" width="11.140625" style="132" customWidth="1"/>
    <col min="11802" max="11802" width="10.85546875" style="132" customWidth="1"/>
    <col min="11803" max="11803" width="10.640625" style="132" customWidth="1"/>
    <col min="11804" max="11805" width="7.140625" style="132" customWidth="1"/>
    <col min="11806" max="12031" width="9" style="132" customWidth="1"/>
    <col min="12032" max="12033" width="4.35546875" style="132"/>
    <col min="12034" max="12034" width="6.85546875" style="132" customWidth="1"/>
    <col min="12035" max="12035" width="8" style="132" customWidth="1"/>
    <col min="12036" max="12036" width="5.2109375" style="132" customWidth="1"/>
    <col min="12037" max="12037" width="20.640625" style="132" customWidth="1"/>
    <col min="12038" max="12038" width="17.7109375" style="132" customWidth="1"/>
    <col min="12039" max="12039" width="11.85546875" style="132" customWidth="1"/>
    <col min="12040" max="12040" width="3.85546875" style="132" customWidth="1"/>
    <col min="12041" max="12041" width="4.2109375" style="132" customWidth="1"/>
    <col min="12042" max="12042" width="4.140625" style="132" customWidth="1"/>
    <col min="12043" max="12043" width="4" style="132" customWidth="1"/>
    <col min="12044" max="12044" width="29.5" style="132" customWidth="1"/>
    <col min="12045" max="12045" width="14.640625" style="132" customWidth="1"/>
    <col min="12046" max="12046" width="12.2109375" style="132" customWidth="1"/>
    <col min="12047" max="12047" width="11.35546875" style="132" customWidth="1"/>
    <col min="12048" max="12049" width="8.7109375" style="132" customWidth="1"/>
    <col min="12050" max="12050" width="12" style="132" customWidth="1"/>
    <col min="12051" max="12051" width="11.2109375" style="132" customWidth="1"/>
    <col min="12052" max="12053" width="12.140625" style="132" customWidth="1"/>
    <col min="12054" max="12054" width="10.7109375" style="132" customWidth="1"/>
    <col min="12055" max="12055" width="11.140625" style="132" customWidth="1"/>
    <col min="12056" max="12056" width="11.640625" style="132" customWidth="1"/>
    <col min="12057" max="12057" width="11.140625" style="132" customWidth="1"/>
    <col min="12058" max="12058" width="10.85546875" style="132" customWidth="1"/>
    <col min="12059" max="12059" width="10.640625" style="132" customWidth="1"/>
    <col min="12060" max="12061" width="7.140625" style="132" customWidth="1"/>
    <col min="12062" max="12287" width="9" style="132" customWidth="1"/>
    <col min="12288" max="12289" width="4.35546875" style="132"/>
    <col min="12290" max="12290" width="6.85546875" style="132" customWidth="1"/>
    <col min="12291" max="12291" width="8" style="132" customWidth="1"/>
    <col min="12292" max="12292" width="5.2109375" style="132" customWidth="1"/>
    <col min="12293" max="12293" width="20.640625" style="132" customWidth="1"/>
    <col min="12294" max="12294" width="17.7109375" style="132" customWidth="1"/>
    <col min="12295" max="12295" width="11.85546875" style="132" customWidth="1"/>
    <col min="12296" max="12296" width="3.85546875" style="132" customWidth="1"/>
    <col min="12297" max="12297" width="4.2109375" style="132" customWidth="1"/>
    <col min="12298" max="12298" width="4.140625" style="132" customWidth="1"/>
    <col min="12299" max="12299" width="4" style="132" customWidth="1"/>
    <col min="12300" max="12300" width="29.5" style="132" customWidth="1"/>
    <col min="12301" max="12301" width="14.640625" style="132" customWidth="1"/>
    <col min="12302" max="12302" width="12.2109375" style="132" customWidth="1"/>
    <col min="12303" max="12303" width="11.35546875" style="132" customWidth="1"/>
    <col min="12304" max="12305" width="8.7109375" style="132" customWidth="1"/>
    <col min="12306" max="12306" width="12" style="132" customWidth="1"/>
    <col min="12307" max="12307" width="11.2109375" style="132" customWidth="1"/>
    <col min="12308" max="12309" width="12.140625" style="132" customWidth="1"/>
    <col min="12310" max="12310" width="10.7109375" style="132" customWidth="1"/>
    <col min="12311" max="12311" width="11.140625" style="132" customWidth="1"/>
    <col min="12312" max="12312" width="11.640625" style="132" customWidth="1"/>
    <col min="12313" max="12313" width="11.140625" style="132" customWidth="1"/>
    <col min="12314" max="12314" width="10.85546875" style="132" customWidth="1"/>
    <col min="12315" max="12315" width="10.640625" style="132" customWidth="1"/>
    <col min="12316" max="12317" width="7.140625" style="132" customWidth="1"/>
    <col min="12318" max="12543" width="9" style="132" customWidth="1"/>
    <col min="12544" max="12545" width="4.35546875" style="132"/>
    <col min="12546" max="12546" width="6.85546875" style="132" customWidth="1"/>
    <col min="12547" max="12547" width="8" style="132" customWidth="1"/>
    <col min="12548" max="12548" width="5.2109375" style="132" customWidth="1"/>
    <col min="12549" max="12549" width="20.640625" style="132" customWidth="1"/>
    <col min="12550" max="12550" width="17.7109375" style="132" customWidth="1"/>
    <col min="12551" max="12551" width="11.85546875" style="132" customWidth="1"/>
    <col min="12552" max="12552" width="3.85546875" style="132" customWidth="1"/>
    <col min="12553" max="12553" width="4.2109375" style="132" customWidth="1"/>
    <col min="12554" max="12554" width="4.140625" style="132" customWidth="1"/>
    <col min="12555" max="12555" width="4" style="132" customWidth="1"/>
    <col min="12556" max="12556" width="29.5" style="132" customWidth="1"/>
    <col min="12557" max="12557" width="14.640625" style="132" customWidth="1"/>
    <col min="12558" max="12558" width="12.2109375" style="132" customWidth="1"/>
    <col min="12559" max="12559" width="11.35546875" style="132" customWidth="1"/>
    <col min="12560" max="12561" width="8.7109375" style="132" customWidth="1"/>
    <col min="12562" max="12562" width="12" style="132" customWidth="1"/>
    <col min="12563" max="12563" width="11.2109375" style="132" customWidth="1"/>
    <col min="12564" max="12565" width="12.140625" style="132" customWidth="1"/>
    <col min="12566" max="12566" width="10.7109375" style="132" customWidth="1"/>
    <col min="12567" max="12567" width="11.140625" style="132" customWidth="1"/>
    <col min="12568" max="12568" width="11.640625" style="132" customWidth="1"/>
    <col min="12569" max="12569" width="11.140625" style="132" customWidth="1"/>
    <col min="12570" max="12570" width="10.85546875" style="132" customWidth="1"/>
    <col min="12571" max="12571" width="10.640625" style="132" customWidth="1"/>
    <col min="12572" max="12573" width="7.140625" style="132" customWidth="1"/>
    <col min="12574" max="12799" width="9" style="132" customWidth="1"/>
    <col min="12800" max="12801" width="4.35546875" style="132"/>
    <col min="12802" max="12802" width="6.85546875" style="132" customWidth="1"/>
    <col min="12803" max="12803" width="8" style="132" customWidth="1"/>
    <col min="12804" max="12804" width="5.2109375" style="132" customWidth="1"/>
    <col min="12805" max="12805" width="20.640625" style="132" customWidth="1"/>
    <col min="12806" max="12806" width="17.7109375" style="132" customWidth="1"/>
    <col min="12807" max="12807" width="11.85546875" style="132" customWidth="1"/>
    <col min="12808" max="12808" width="3.85546875" style="132" customWidth="1"/>
    <col min="12809" max="12809" width="4.2109375" style="132" customWidth="1"/>
    <col min="12810" max="12810" width="4.140625" style="132" customWidth="1"/>
    <col min="12811" max="12811" width="4" style="132" customWidth="1"/>
    <col min="12812" max="12812" width="29.5" style="132" customWidth="1"/>
    <col min="12813" max="12813" width="14.640625" style="132" customWidth="1"/>
    <col min="12814" max="12814" width="12.2109375" style="132" customWidth="1"/>
    <col min="12815" max="12815" width="11.35546875" style="132" customWidth="1"/>
    <col min="12816" max="12817" width="8.7109375" style="132" customWidth="1"/>
    <col min="12818" max="12818" width="12" style="132" customWidth="1"/>
    <col min="12819" max="12819" width="11.2109375" style="132" customWidth="1"/>
    <col min="12820" max="12821" width="12.140625" style="132" customWidth="1"/>
    <col min="12822" max="12822" width="10.7109375" style="132" customWidth="1"/>
    <col min="12823" max="12823" width="11.140625" style="132" customWidth="1"/>
    <col min="12824" max="12824" width="11.640625" style="132" customWidth="1"/>
    <col min="12825" max="12825" width="11.140625" style="132" customWidth="1"/>
    <col min="12826" max="12826" width="10.85546875" style="132" customWidth="1"/>
    <col min="12827" max="12827" width="10.640625" style="132" customWidth="1"/>
    <col min="12828" max="12829" width="7.140625" style="132" customWidth="1"/>
    <col min="12830" max="13055" width="9" style="132" customWidth="1"/>
    <col min="13056" max="13057" width="4.35546875" style="132"/>
    <col min="13058" max="13058" width="6.85546875" style="132" customWidth="1"/>
    <col min="13059" max="13059" width="8" style="132" customWidth="1"/>
    <col min="13060" max="13060" width="5.2109375" style="132" customWidth="1"/>
    <col min="13061" max="13061" width="20.640625" style="132" customWidth="1"/>
    <col min="13062" max="13062" width="17.7109375" style="132" customWidth="1"/>
    <col min="13063" max="13063" width="11.85546875" style="132" customWidth="1"/>
    <col min="13064" max="13064" width="3.85546875" style="132" customWidth="1"/>
    <col min="13065" max="13065" width="4.2109375" style="132" customWidth="1"/>
    <col min="13066" max="13066" width="4.140625" style="132" customWidth="1"/>
    <col min="13067" max="13067" width="4" style="132" customWidth="1"/>
    <col min="13068" max="13068" width="29.5" style="132" customWidth="1"/>
    <col min="13069" max="13069" width="14.640625" style="132" customWidth="1"/>
    <col min="13070" max="13070" width="12.2109375" style="132" customWidth="1"/>
    <col min="13071" max="13071" width="11.35546875" style="132" customWidth="1"/>
    <col min="13072" max="13073" width="8.7109375" style="132" customWidth="1"/>
    <col min="13074" max="13074" width="12" style="132" customWidth="1"/>
    <col min="13075" max="13075" width="11.2109375" style="132" customWidth="1"/>
    <col min="13076" max="13077" width="12.140625" style="132" customWidth="1"/>
    <col min="13078" max="13078" width="10.7109375" style="132" customWidth="1"/>
    <col min="13079" max="13079" width="11.140625" style="132" customWidth="1"/>
    <col min="13080" max="13080" width="11.640625" style="132" customWidth="1"/>
    <col min="13081" max="13081" width="11.140625" style="132" customWidth="1"/>
    <col min="13082" max="13082" width="10.85546875" style="132" customWidth="1"/>
    <col min="13083" max="13083" width="10.640625" style="132" customWidth="1"/>
    <col min="13084" max="13085" width="7.140625" style="132" customWidth="1"/>
    <col min="13086" max="13311" width="9" style="132" customWidth="1"/>
    <col min="13312" max="13313" width="4.35546875" style="132"/>
    <col min="13314" max="13314" width="6.85546875" style="132" customWidth="1"/>
    <col min="13315" max="13315" width="8" style="132" customWidth="1"/>
    <col min="13316" max="13316" width="5.2109375" style="132" customWidth="1"/>
    <col min="13317" max="13317" width="20.640625" style="132" customWidth="1"/>
    <col min="13318" max="13318" width="17.7109375" style="132" customWidth="1"/>
    <col min="13319" max="13319" width="11.85546875" style="132" customWidth="1"/>
    <col min="13320" max="13320" width="3.85546875" style="132" customWidth="1"/>
    <col min="13321" max="13321" width="4.2109375" style="132" customWidth="1"/>
    <col min="13322" max="13322" width="4.140625" style="132" customWidth="1"/>
    <col min="13323" max="13323" width="4" style="132" customWidth="1"/>
    <col min="13324" max="13324" width="29.5" style="132" customWidth="1"/>
    <col min="13325" max="13325" width="14.640625" style="132" customWidth="1"/>
    <col min="13326" max="13326" width="12.2109375" style="132" customWidth="1"/>
    <col min="13327" max="13327" width="11.35546875" style="132" customWidth="1"/>
    <col min="13328" max="13329" width="8.7109375" style="132" customWidth="1"/>
    <col min="13330" max="13330" width="12" style="132" customWidth="1"/>
    <col min="13331" max="13331" width="11.2109375" style="132" customWidth="1"/>
    <col min="13332" max="13333" width="12.140625" style="132" customWidth="1"/>
    <col min="13334" max="13334" width="10.7109375" style="132" customWidth="1"/>
    <col min="13335" max="13335" width="11.140625" style="132" customWidth="1"/>
    <col min="13336" max="13336" width="11.640625" style="132" customWidth="1"/>
    <col min="13337" max="13337" width="11.140625" style="132" customWidth="1"/>
    <col min="13338" max="13338" width="10.85546875" style="132" customWidth="1"/>
    <col min="13339" max="13339" width="10.640625" style="132" customWidth="1"/>
    <col min="13340" max="13341" width="7.140625" style="132" customWidth="1"/>
    <col min="13342" max="13567" width="9" style="132" customWidth="1"/>
    <col min="13568" max="13569" width="4.35546875" style="132"/>
    <col min="13570" max="13570" width="6.85546875" style="132" customWidth="1"/>
    <col min="13571" max="13571" width="8" style="132" customWidth="1"/>
    <col min="13572" max="13572" width="5.2109375" style="132" customWidth="1"/>
    <col min="13573" max="13573" width="20.640625" style="132" customWidth="1"/>
    <col min="13574" max="13574" width="17.7109375" style="132" customWidth="1"/>
    <col min="13575" max="13575" width="11.85546875" style="132" customWidth="1"/>
    <col min="13576" max="13576" width="3.85546875" style="132" customWidth="1"/>
    <col min="13577" max="13577" width="4.2109375" style="132" customWidth="1"/>
    <col min="13578" max="13578" width="4.140625" style="132" customWidth="1"/>
    <col min="13579" max="13579" width="4" style="132" customWidth="1"/>
    <col min="13580" max="13580" width="29.5" style="132" customWidth="1"/>
    <col min="13581" max="13581" width="14.640625" style="132" customWidth="1"/>
    <col min="13582" max="13582" width="12.2109375" style="132" customWidth="1"/>
    <col min="13583" max="13583" width="11.35546875" style="132" customWidth="1"/>
    <col min="13584" max="13585" width="8.7109375" style="132" customWidth="1"/>
    <col min="13586" max="13586" width="12" style="132" customWidth="1"/>
    <col min="13587" max="13587" width="11.2109375" style="132" customWidth="1"/>
    <col min="13588" max="13589" width="12.140625" style="132" customWidth="1"/>
    <col min="13590" max="13590" width="10.7109375" style="132" customWidth="1"/>
    <col min="13591" max="13591" width="11.140625" style="132" customWidth="1"/>
    <col min="13592" max="13592" width="11.640625" style="132" customWidth="1"/>
    <col min="13593" max="13593" width="11.140625" style="132" customWidth="1"/>
    <col min="13594" max="13594" width="10.85546875" style="132" customWidth="1"/>
    <col min="13595" max="13595" width="10.640625" style="132" customWidth="1"/>
    <col min="13596" max="13597" width="7.140625" style="132" customWidth="1"/>
    <col min="13598" max="13823" width="9" style="132" customWidth="1"/>
    <col min="13824" max="13825" width="4.35546875" style="132"/>
    <col min="13826" max="13826" width="6.85546875" style="132" customWidth="1"/>
    <col min="13827" max="13827" width="8" style="132" customWidth="1"/>
    <col min="13828" max="13828" width="5.2109375" style="132" customWidth="1"/>
    <col min="13829" max="13829" width="20.640625" style="132" customWidth="1"/>
    <col min="13830" max="13830" width="17.7109375" style="132" customWidth="1"/>
    <col min="13831" max="13831" width="11.85546875" style="132" customWidth="1"/>
    <col min="13832" max="13832" width="3.85546875" style="132" customWidth="1"/>
    <col min="13833" max="13833" width="4.2109375" style="132" customWidth="1"/>
    <col min="13834" max="13834" width="4.140625" style="132" customWidth="1"/>
    <col min="13835" max="13835" width="4" style="132" customWidth="1"/>
    <col min="13836" max="13836" width="29.5" style="132" customWidth="1"/>
    <col min="13837" max="13837" width="14.640625" style="132" customWidth="1"/>
    <col min="13838" max="13838" width="12.2109375" style="132" customWidth="1"/>
    <col min="13839" max="13839" width="11.35546875" style="132" customWidth="1"/>
    <col min="13840" max="13841" width="8.7109375" style="132" customWidth="1"/>
    <col min="13842" max="13842" width="12" style="132" customWidth="1"/>
    <col min="13843" max="13843" width="11.2109375" style="132" customWidth="1"/>
    <col min="13844" max="13845" width="12.140625" style="132" customWidth="1"/>
    <col min="13846" max="13846" width="10.7109375" style="132" customWidth="1"/>
    <col min="13847" max="13847" width="11.140625" style="132" customWidth="1"/>
    <col min="13848" max="13848" width="11.640625" style="132" customWidth="1"/>
    <col min="13849" max="13849" width="11.140625" style="132" customWidth="1"/>
    <col min="13850" max="13850" width="10.85546875" style="132" customWidth="1"/>
    <col min="13851" max="13851" width="10.640625" style="132" customWidth="1"/>
    <col min="13852" max="13853" width="7.140625" style="132" customWidth="1"/>
    <col min="13854" max="14079" width="9" style="132" customWidth="1"/>
    <col min="14080" max="14081" width="4.35546875" style="132"/>
    <col min="14082" max="14082" width="6.85546875" style="132" customWidth="1"/>
    <col min="14083" max="14083" width="8" style="132" customWidth="1"/>
    <col min="14084" max="14084" width="5.2109375" style="132" customWidth="1"/>
    <col min="14085" max="14085" width="20.640625" style="132" customWidth="1"/>
    <col min="14086" max="14086" width="17.7109375" style="132" customWidth="1"/>
    <col min="14087" max="14087" width="11.85546875" style="132" customWidth="1"/>
    <col min="14088" max="14088" width="3.85546875" style="132" customWidth="1"/>
    <col min="14089" max="14089" width="4.2109375" style="132" customWidth="1"/>
    <col min="14090" max="14090" width="4.140625" style="132" customWidth="1"/>
    <col min="14091" max="14091" width="4" style="132" customWidth="1"/>
    <col min="14092" max="14092" width="29.5" style="132" customWidth="1"/>
    <col min="14093" max="14093" width="14.640625" style="132" customWidth="1"/>
    <col min="14094" max="14094" width="12.2109375" style="132" customWidth="1"/>
    <col min="14095" max="14095" width="11.35546875" style="132" customWidth="1"/>
    <col min="14096" max="14097" width="8.7109375" style="132" customWidth="1"/>
    <col min="14098" max="14098" width="12" style="132" customWidth="1"/>
    <col min="14099" max="14099" width="11.2109375" style="132" customWidth="1"/>
    <col min="14100" max="14101" width="12.140625" style="132" customWidth="1"/>
    <col min="14102" max="14102" width="10.7109375" style="132" customWidth="1"/>
    <col min="14103" max="14103" width="11.140625" style="132" customWidth="1"/>
    <col min="14104" max="14104" width="11.640625" style="132" customWidth="1"/>
    <col min="14105" max="14105" width="11.140625" style="132" customWidth="1"/>
    <col min="14106" max="14106" width="10.85546875" style="132" customWidth="1"/>
    <col min="14107" max="14107" width="10.640625" style="132" customWidth="1"/>
    <col min="14108" max="14109" width="7.140625" style="132" customWidth="1"/>
    <col min="14110" max="14335" width="9" style="132" customWidth="1"/>
    <col min="14336" max="14337" width="4.35546875" style="132"/>
    <col min="14338" max="14338" width="6.85546875" style="132" customWidth="1"/>
    <col min="14339" max="14339" width="8" style="132" customWidth="1"/>
    <col min="14340" max="14340" width="5.2109375" style="132" customWidth="1"/>
    <col min="14341" max="14341" width="20.640625" style="132" customWidth="1"/>
    <col min="14342" max="14342" width="17.7109375" style="132" customWidth="1"/>
    <col min="14343" max="14343" width="11.85546875" style="132" customWidth="1"/>
    <col min="14344" max="14344" width="3.85546875" style="132" customWidth="1"/>
    <col min="14345" max="14345" width="4.2109375" style="132" customWidth="1"/>
    <col min="14346" max="14346" width="4.140625" style="132" customWidth="1"/>
    <col min="14347" max="14347" width="4" style="132" customWidth="1"/>
    <col min="14348" max="14348" width="29.5" style="132" customWidth="1"/>
    <col min="14349" max="14349" width="14.640625" style="132" customWidth="1"/>
    <col min="14350" max="14350" width="12.2109375" style="132" customWidth="1"/>
    <col min="14351" max="14351" width="11.35546875" style="132" customWidth="1"/>
    <col min="14352" max="14353" width="8.7109375" style="132" customWidth="1"/>
    <col min="14354" max="14354" width="12" style="132" customWidth="1"/>
    <col min="14355" max="14355" width="11.2109375" style="132" customWidth="1"/>
    <col min="14356" max="14357" width="12.140625" style="132" customWidth="1"/>
    <col min="14358" max="14358" width="10.7109375" style="132" customWidth="1"/>
    <col min="14359" max="14359" width="11.140625" style="132" customWidth="1"/>
    <col min="14360" max="14360" width="11.640625" style="132" customWidth="1"/>
    <col min="14361" max="14361" width="11.140625" style="132" customWidth="1"/>
    <col min="14362" max="14362" width="10.85546875" style="132" customWidth="1"/>
    <col min="14363" max="14363" width="10.640625" style="132" customWidth="1"/>
    <col min="14364" max="14365" width="7.140625" style="132" customWidth="1"/>
    <col min="14366" max="14591" width="9" style="132" customWidth="1"/>
    <col min="14592" max="14593" width="4.35546875" style="132"/>
    <col min="14594" max="14594" width="6.85546875" style="132" customWidth="1"/>
    <col min="14595" max="14595" width="8" style="132" customWidth="1"/>
    <col min="14596" max="14596" width="5.2109375" style="132" customWidth="1"/>
    <col min="14597" max="14597" width="20.640625" style="132" customWidth="1"/>
    <col min="14598" max="14598" width="17.7109375" style="132" customWidth="1"/>
    <col min="14599" max="14599" width="11.85546875" style="132" customWidth="1"/>
    <col min="14600" max="14600" width="3.85546875" style="132" customWidth="1"/>
    <col min="14601" max="14601" width="4.2109375" style="132" customWidth="1"/>
    <col min="14602" max="14602" width="4.140625" style="132" customWidth="1"/>
    <col min="14603" max="14603" width="4" style="132" customWidth="1"/>
    <col min="14604" max="14604" width="29.5" style="132" customWidth="1"/>
    <col min="14605" max="14605" width="14.640625" style="132" customWidth="1"/>
    <col min="14606" max="14606" width="12.2109375" style="132" customWidth="1"/>
    <col min="14607" max="14607" width="11.35546875" style="132" customWidth="1"/>
    <col min="14608" max="14609" width="8.7109375" style="132" customWidth="1"/>
    <col min="14610" max="14610" width="12" style="132" customWidth="1"/>
    <col min="14611" max="14611" width="11.2109375" style="132" customWidth="1"/>
    <col min="14612" max="14613" width="12.140625" style="132" customWidth="1"/>
    <col min="14614" max="14614" width="10.7109375" style="132" customWidth="1"/>
    <col min="14615" max="14615" width="11.140625" style="132" customWidth="1"/>
    <col min="14616" max="14616" width="11.640625" style="132" customWidth="1"/>
    <col min="14617" max="14617" width="11.140625" style="132" customWidth="1"/>
    <col min="14618" max="14618" width="10.85546875" style="132" customWidth="1"/>
    <col min="14619" max="14619" width="10.640625" style="132" customWidth="1"/>
    <col min="14620" max="14621" width="7.140625" style="132" customWidth="1"/>
    <col min="14622" max="14847" width="9" style="132" customWidth="1"/>
    <col min="14848" max="14849" width="4.35546875" style="132"/>
    <col min="14850" max="14850" width="6.85546875" style="132" customWidth="1"/>
    <col min="14851" max="14851" width="8" style="132" customWidth="1"/>
    <col min="14852" max="14852" width="5.2109375" style="132" customWidth="1"/>
    <col min="14853" max="14853" width="20.640625" style="132" customWidth="1"/>
    <col min="14854" max="14854" width="17.7109375" style="132" customWidth="1"/>
    <col min="14855" max="14855" width="11.85546875" style="132" customWidth="1"/>
    <col min="14856" max="14856" width="3.85546875" style="132" customWidth="1"/>
    <col min="14857" max="14857" width="4.2109375" style="132" customWidth="1"/>
    <col min="14858" max="14858" width="4.140625" style="132" customWidth="1"/>
    <col min="14859" max="14859" width="4" style="132" customWidth="1"/>
    <col min="14860" max="14860" width="29.5" style="132" customWidth="1"/>
    <col min="14861" max="14861" width="14.640625" style="132" customWidth="1"/>
    <col min="14862" max="14862" width="12.2109375" style="132" customWidth="1"/>
    <col min="14863" max="14863" width="11.35546875" style="132" customWidth="1"/>
    <col min="14864" max="14865" width="8.7109375" style="132" customWidth="1"/>
    <col min="14866" max="14866" width="12" style="132" customWidth="1"/>
    <col min="14867" max="14867" width="11.2109375" style="132" customWidth="1"/>
    <col min="14868" max="14869" width="12.140625" style="132" customWidth="1"/>
    <col min="14870" max="14870" width="10.7109375" style="132" customWidth="1"/>
    <col min="14871" max="14871" width="11.140625" style="132" customWidth="1"/>
    <col min="14872" max="14872" width="11.640625" style="132" customWidth="1"/>
    <col min="14873" max="14873" width="11.140625" style="132" customWidth="1"/>
    <col min="14874" max="14874" width="10.85546875" style="132" customWidth="1"/>
    <col min="14875" max="14875" width="10.640625" style="132" customWidth="1"/>
    <col min="14876" max="14877" width="7.140625" style="132" customWidth="1"/>
    <col min="14878" max="15103" width="9" style="132" customWidth="1"/>
    <col min="15104" max="15105" width="4.35546875" style="132"/>
    <col min="15106" max="15106" width="6.85546875" style="132" customWidth="1"/>
    <col min="15107" max="15107" width="8" style="132" customWidth="1"/>
    <col min="15108" max="15108" width="5.2109375" style="132" customWidth="1"/>
    <col min="15109" max="15109" width="20.640625" style="132" customWidth="1"/>
    <col min="15110" max="15110" width="17.7109375" style="132" customWidth="1"/>
    <col min="15111" max="15111" width="11.85546875" style="132" customWidth="1"/>
    <col min="15112" max="15112" width="3.85546875" style="132" customWidth="1"/>
    <col min="15113" max="15113" width="4.2109375" style="132" customWidth="1"/>
    <col min="15114" max="15114" width="4.140625" style="132" customWidth="1"/>
    <col min="15115" max="15115" width="4" style="132" customWidth="1"/>
    <col min="15116" max="15116" width="29.5" style="132" customWidth="1"/>
    <col min="15117" max="15117" width="14.640625" style="132" customWidth="1"/>
    <col min="15118" max="15118" width="12.2109375" style="132" customWidth="1"/>
    <col min="15119" max="15119" width="11.35546875" style="132" customWidth="1"/>
    <col min="15120" max="15121" width="8.7109375" style="132" customWidth="1"/>
    <col min="15122" max="15122" width="12" style="132" customWidth="1"/>
    <col min="15123" max="15123" width="11.2109375" style="132" customWidth="1"/>
    <col min="15124" max="15125" width="12.140625" style="132" customWidth="1"/>
    <col min="15126" max="15126" width="10.7109375" style="132" customWidth="1"/>
    <col min="15127" max="15127" width="11.140625" style="132" customWidth="1"/>
    <col min="15128" max="15128" width="11.640625" style="132" customWidth="1"/>
    <col min="15129" max="15129" width="11.140625" style="132" customWidth="1"/>
    <col min="15130" max="15130" width="10.85546875" style="132" customWidth="1"/>
    <col min="15131" max="15131" width="10.640625" style="132" customWidth="1"/>
    <col min="15132" max="15133" width="7.140625" style="132" customWidth="1"/>
    <col min="15134" max="15359" width="9" style="132" customWidth="1"/>
    <col min="15360" max="15361" width="4.35546875" style="132"/>
    <col min="15362" max="15362" width="6.85546875" style="132" customWidth="1"/>
    <col min="15363" max="15363" width="8" style="132" customWidth="1"/>
    <col min="15364" max="15364" width="5.2109375" style="132" customWidth="1"/>
    <col min="15365" max="15365" width="20.640625" style="132" customWidth="1"/>
    <col min="15366" max="15366" width="17.7109375" style="132" customWidth="1"/>
    <col min="15367" max="15367" width="11.85546875" style="132" customWidth="1"/>
    <col min="15368" max="15368" width="3.85546875" style="132" customWidth="1"/>
    <col min="15369" max="15369" width="4.2109375" style="132" customWidth="1"/>
    <col min="15370" max="15370" width="4.140625" style="132" customWidth="1"/>
    <col min="15371" max="15371" width="4" style="132" customWidth="1"/>
    <col min="15372" max="15372" width="29.5" style="132" customWidth="1"/>
    <col min="15373" max="15373" width="14.640625" style="132" customWidth="1"/>
    <col min="15374" max="15374" width="12.2109375" style="132" customWidth="1"/>
    <col min="15375" max="15375" width="11.35546875" style="132" customWidth="1"/>
    <col min="15376" max="15377" width="8.7109375" style="132" customWidth="1"/>
    <col min="15378" max="15378" width="12" style="132" customWidth="1"/>
    <col min="15379" max="15379" width="11.2109375" style="132" customWidth="1"/>
    <col min="15380" max="15381" width="12.140625" style="132" customWidth="1"/>
    <col min="15382" max="15382" width="10.7109375" style="132" customWidth="1"/>
    <col min="15383" max="15383" width="11.140625" style="132" customWidth="1"/>
    <col min="15384" max="15384" width="11.640625" style="132" customWidth="1"/>
    <col min="15385" max="15385" width="11.140625" style="132" customWidth="1"/>
    <col min="15386" max="15386" width="10.85546875" style="132" customWidth="1"/>
    <col min="15387" max="15387" width="10.640625" style="132" customWidth="1"/>
    <col min="15388" max="15389" width="7.140625" style="132" customWidth="1"/>
    <col min="15390" max="15615" width="9" style="132" customWidth="1"/>
    <col min="15616" max="15617" width="4.35546875" style="132"/>
    <col min="15618" max="15618" width="6.85546875" style="132" customWidth="1"/>
    <col min="15619" max="15619" width="8" style="132" customWidth="1"/>
    <col min="15620" max="15620" width="5.2109375" style="132" customWidth="1"/>
    <col min="15621" max="15621" width="20.640625" style="132" customWidth="1"/>
    <col min="15622" max="15622" width="17.7109375" style="132" customWidth="1"/>
    <col min="15623" max="15623" width="11.85546875" style="132" customWidth="1"/>
    <col min="15624" max="15624" width="3.85546875" style="132" customWidth="1"/>
    <col min="15625" max="15625" width="4.2109375" style="132" customWidth="1"/>
    <col min="15626" max="15626" width="4.140625" style="132" customWidth="1"/>
    <col min="15627" max="15627" width="4" style="132" customWidth="1"/>
    <col min="15628" max="15628" width="29.5" style="132" customWidth="1"/>
    <col min="15629" max="15629" width="14.640625" style="132" customWidth="1"/>
    <col min="15630" max="15630" width="12.2109375" style="132" customWidth="1"/>
    <col min="15631" max="15631" width="11.35546875" style="132" customWidth="1"/>
    <col min="15632" max="15633" width="8.7109375" style="132" customWidth="1"/>
    <col min="15634" max="15634" width="12" style="132" customWidth="1"/>
    <col min="15635" max="15635" width="11.2109375" style="132" customWidth="1"/>
    <col min="15636" max="15637" width="12.140625" style="132" customWidth="1"/>
    <col min="15638" max="15638" width="10.7109375" style="132" customWidth="1"/>
    <col min="15639" max="15639" width="11.140625" style="132" customWidth="1"/>
    <col min="15640" max="15640" width="11.640625" style="132" customWidth="1"/>
    <col min="15641" max="15641" width="11.140625" style="132" customWidth="1"/>
    <col min="15642" max="15642" width="10.85546875" style="132" customWidth="1"/>
    <col min="15643" max="15643" width="10.640625" style="132" customWidth="1"/>
    <col min="15644" max="15645" width="7.140625" style="132" customWidth="1"/>
    <col min="15646" max="15871" width="9" style="132" customWidth="1"/>
    <col min="15872" max="15873" width="4.35546875" style="132"/>
    <col min="15874" max="15874" width="6.85546875" style="132" customWidth="1"/>
    <col min="15875" max="15875" width="8" style="132" customWidth="1"/>
    <col min="15876" max="15876" width="5.2109375" style="132" customWidth="1"/>
    <col min="15877" max="15877" width="20.640625" style="132" customWidth="1"/>
    <col min="15878" max="15878" width="17.7109375" style="132" customWidth="1"/>
    <col min="15879" max="15879" width="11.85546875" style="132" customWidth="1"/>
    <col min="15880" max="15880" width="3.85546875" style="132" customWidth="1"/>
    <col min="15881" max="15881" width="4.2109375" style="132" customWidth="1"/>
    <col min="15882" max="15882" width="4.140625" style="132" customWidth="1"/>
    <col min="15883" max="15883" width="4" style="132" customWidth="1"/>
    <col min="15884" max="15884" width="29.5" style="132" customWidth="1"/>
    <col min="15885" max="15885" width="14.640625" style="132" customWidth="1"/>
    <col min="15886" max="15886" width="12.2109375" style="132" customWidth="1"/>
    <col min="15887" max="15887" width="11.35546875" style="132" customWidth="1"/>
    <col min="15888" max="15889" width="8.7109375" style="132" customWidth="1"/>
    <col min="15890" max="15890" width="12" style="132" customWidth="1"/>
    <col min="15891" max="15891" width="11.2109375" style="132" customWidth="1"/>
    <col min="15892" max="15893" width="12.140625" style="132" customWidth="1"/>
    <col min="15894" max="15894" width="10.7109375" style="132" customWidth="1"/>
    <col min="15895" max="15895" width="11.140625" style="132" customWidth="1"/>
    <col min="15896" max="15896" width="11.640625" style="132" customWidth="1"/>
    <col min="15897" max="15897" width="11.140625" style="132" customWidth="1"/>
    <col min="15898" max="15898" width="10.85546875" style="132" customWidth="1"/>
    <col min="15899" max="15899" width="10.640625" style="132" customWidth="1"/>
    <col min="15900" max="15901" width="7.140625" style="132" customWidth="1"/>
    <col min="15902" max="16127" width="9" style="132" customWidth="1"/>
    <col min="16128" max="16129" width="4.35546875" style="132"/>
    <col min="16130" max="16130" width="6.85546875" style="132" customWidth="1"/>
    <col min="16131" max="16131" width="8" style="132" customWidth="1"/>
    <col min="16132" max="16132" width="5.2109375" style="132" customWidth="1"/>
    <col min="16133" max="16133" width="20.640625" style="132" customWidth="1"/>
    <col min="16134" max="16134" width="17.7109375" style="132" customWidth="1"/>
    <col min="16135" max="16135" width="11.85546875" style="132" customWidth="1"/>
    <col min="16136" max="16136" width="3.85546875" style="132" customWidth="1"/>
    <col min="16137" max="16137" width="4.2109375" style="132" customWidth="1"/>
    <col min="16138" max="16138" width="4.140625" style="132" customWidth="1"/>
    <col min="16139" max="16139" width="4" style="132" customWidth="1"/>
    <col min="16140" max="16140" width="29.5" style="132" customWidth="1"/>
    <col min="16141" max="16141" width="14.640625" style="132" customWidth="1"/>
    <col min="16142" max="16142" width="12.2109375" style="132" customWidth="1"/>
    <col min="16143" max="16143" width="11.35546875" style="132" customWidth="1"/>
    <col min="16144" max="16145" width="8.7109375" style="132" customWidth="1"/>
    <col min="16146" max="16146" width="12" style="132" customWidth="1"/>
    <col min="16147" max="16147" width="11.2109375" style="132" customWidth="1"/>
    <col min="16148" max="16149" width="12.140625" style="132" customWidth="1"/>
    <col min="16150" max="16150" width="10.7109375" style="132" customWidth="1"/>
    <col min="16151" max="16151" width="11.140625" style="132" customWidth="1"/>
    <col min="16152" max="16152" width="11.640625" style="132" customWidth="1"/>
    <col min="16153" max="16153" width="11.140625" style="132" customWidth="1"/>
    <col min="16154" max="16154" width="10.85546875" style="132" customWidth="1"/>
    <col min="16155" max="16155" width="10.640625" style="132" customWidth="1"/>
    <col min="16156" max="16157" width="7.140625" style="132" customWidth="1"/>
    <col min="16158" max="16383" width="9" style="132" customWidth="1"/>
    <col min="16384" max="16384" width="4.35546875" style="132"/>
  </cols>
  <sheetData>
    <row r="1" spans="1:31">
      <c r="D1" s="3108" t="s">
        <v>2083</v>
      </c>
      <c r="E1" s="3108"/>
      <c r="F1" s="3108"/>
      <c r="G1" s="3108"/>
      <c r="H1" s="3108"/>
      <c r="I1" s="3108"/>
      <c r="J1" s="3108"/>
      <c r="K1" s="3108"/>
      <c r="L1" s="3108"/>
      <c r="M1" s="3108"/>
      <c r="N1" s="3108"/>
      <c r="O1" s="3108"/>
      <c r="P1" s="3108"/>
      <c r="Q1" s="3108"/>
      <c r="R1" s="3108"/>
      <c r="S1" s="3108"/>
      <c r="T1" s="3108"/>
      <c r="U1" s="3108"/>
      <c r="V1" s="3108"/>
      <c r="W1" s="3108"/>
      <c r="X1" s="3108"/>
      <c r="Y1" s="3108"/>
      <c r="Z1" s="3108"/>
      <c r="AA1" s="3108"/>
      <c r="AB1" s="3108"/>
    </row>
    <row r="2" spans="1:31" ht="20.25" customHeight="1">
      <c r="D2" s="1511" t="s">
        <v>0</v>
      </c>
      <c r="E2" s="132" t="s">
        <v>1</v>
      </c>
      <c r="G2" s="133" t="s">
        <v>238</v>
      </c>
      <c r="J2" s="1512"/>
    </row>
    <row r="3" spans="1:31" ht="19.5" customHeight="1">
      <c r="D3" s="1513" t="s">
        <v>2</v>
      </c>
      <c r="E3" s="1513"/>
      <c r="F3" s="1513"/>
      <c r="G3" s="1513"/>
      <c r="H3" s="1513"/>
      <c r="I3" s="1513"/>
      <c r="J3" s="1513"/>
      <c r="K3" s="1513"/>
      <c r="L3" s="1513"/>
      <c r="M3" s="1513"/>
      <c r="N3" s="1513"/>
      <c r="O3" s="1513"/>
      <c r="P3" s="1513"/>
      <c r="Q3" s="1513"/>
      <c r="R3" s="1513"/>
      <c r="S3" s="1513"/>
      <c r="T3" s="1513"/>
      <c r="U3" s="1513"/>
      <c r="V3" s="1513"/>
    </row>
    <row r="4" spans="1:31" ht="19.5" customHeight="1">
      <c r="D4" s="1513" t="s">
        <v>2084</v>
      </c>
      <c r="E4" s="1513"/>
      <c r="F4" s="1513"/>
      <c r="G4" s="1513"/>
      <c r="H4" s="1513"/>
      <c r="I4" s="1513"/>
      <c r="J4" s="1513"/>
      <c r="K4" s="1513"/>
      <c r="R4" s="1513"/>
      <c r="S4" s="1513"/>
      <c r="T4" s="1513"/>
      <c r="U4" s="1513"/>
      <c r="V4" s="1513"/>
    </row>
    <row r="5" spans="1:31" ht="19.5" customHeight="1">
      <c r="D5" s="1511" t="s">
        <v>2085</v>
      </c>
      <c r="E5" s="1513"/>
      <c r="F5" s="1513"/>
      <c r="G5" s="1513"/>
      <c r="H5" s="1513"/>
      <c r="I5" s="1513"/>
      <c r="J5" s="1513"/>
      <c r="K5" s="1513" t="s">
        <v>2086</v>
      </c>
      <c r="M5" s="438" t="s">
        <v>37</v>
      </c>
      <c r="N5" s="431" t="s">
        <v>11</v>
      </c>
      <c r="O5" s="433" t="s">
        <v>22</v>
      </c>
      <c r="P5" s="433" t="s">
        <v>23</v>
      </c>
      <c r="Q5" s="433" t="s">
        <v>24</v>
      </c>
      <c r="R5" s="433" t="s">
        <v>25</v>
      </c>
      <c r="S5" s="433" t="s">
        <v>26</v>
      </c>
      <c r="T5" s="433" t="s">
        <v>27</v>
      </c>
      <c r="U5" s="433" t="s">
        <v>28</v>
      </c>
      <c r="V5" s="433" t="s">
        <v>29</v>
      </c>
      <c r="W5" s="433" t="s">
        <v>30</v>
      </c>
      <c r="X5" s="433" t="s">
        <v>31</v>
      </c>
      <c r="Y5" s="433" t="s">
        <v>32</v>
      </c>
      <c r="Z5" s="433" t="s">
        <v>33</v>
      </c>
      <c r="AA5" s="2053" t="s">
        <v>2287</v>
      </c>
      <c r="AB5" s="2053" t="s">
        <v>2288</v>
      </c>
      <c r="AC5" s="2053" t="s">
        <v>2289</v>
      </c>
      <c r="AD5" s="2053" t="s">
        <v>2290</v>
      </c>
      <c r="AE5" s="2053" t="s">
        <v>2291</v>
      </c>
    </row>
    <row r="6" spans="1:31" ht="19.5" customHeight="1">
      <c r="D6" s="1513" t="s">
        <v>4</v>
      </c>
      <c r="E6" s="1513"/>
      <c r="F6" s="1513"/>
      <c r="G6" s="1513" t="s">
        <v>2087</v>
      </c>
      <c r="H6" s="1513"/>
      <c r="I6" s="1513"/>
      <c r="J6" s="1513"/>
      <c r="K6" s="1513"/>
      <c r="M6" s="2873">
        <v>12</v>
      </c>
      <c r="N6" s="432">
        <f>SUM(N13:N70)</f>
        <v>840805</v>
      </c>
      <c r="O6" s="432">
        <f>O13+O26+O28+O35+O41+O46+O50+O52+O59+O61+O63+O65</f>
        <v>1900</v>
      </c>
      <c r="P6" s="432">
        <f t="shared" ref="P6:Z6" si="0">P13+P26+P28+P35+P41+P46+P50+P52+P59+P61+P63+P65</f>
        <v>4400</v>
      </c>
      <c r="Q6" s="432">
        <f t="shared" si="0"/>
        <v>4400</v>
      </c>
      <c r="R6" s="432">
        <f t="shared" si="0"/>
        <v>31500</v>
      </c>
      <c r="S6" s="432">
        <f t="shared" si="0"/>
        <v>42400</v>
      </c>
      <c r="T6" s="432">
        <f t="shared" si="0"/>
        <v>3400</v>
      </c>
      <c r="U6" s="432">
        <f t="shared" si="0"/>
        <v>35900</v>
      </c>
      <c r="V6" s="432">
        <f t="shared" si="0"/>
        <v>115300</v>
      </c>
      <c r="W6" s="432">
        <f t="shared" si="0"/>
        <v>53600</v>
      </c>
      <c r="X6" s="432">
        <f t="shared" si="0"/>
        <v>104400</v>
      </c>
      <c r="Y6" s="432">
        <f t="shared" si="0"/>
        <v>272400</v>
      </c>
      <c r="Z6" s="432">
        <f t="shared" si="0"/>
        <v>171205</v>
      </c>
      <c r="AA6" s="2058">
        <f>N13+N26+N35+N41+N46+N52+N59+N61+N63+N65</f>
        <v>578805</v>
      </c>
      <c r="AB6" s="2058"/>
      <c r="AC6" s="2059"/>
      <c r="AD6" s="2058">
        <f>N28</f>
        <v>262000</v>
      </c>
      <c r="AE6" s="2058"/>
    </row>
    <row r="7" spans="1:31" ht="41.5" customHeight="1">
      <c r="D7" s="1508"/>
      <c r="E7" s="1513"/>
      <c r="F7" s="1513"/>
      <c r="G7" s="1513" t="s">
        <v>2088</v>
      </c>
      <c r="H7" s="1513"/>
      <c r="I7" s="1513"/>
      <c r="J7" s="1513"/>
      <c r="K7" s="1513"/>
      <c r="L7" s="1513"/>
      <c r="M7" s="436"/>
      <c r="N7" s="434"/>
      <c r="O7" s="435"/>
      <c r="P7" s="435"/>
      <c r="Q7" s="435">
        <f>O6+P6+Q6</f>
        <v>10700</v>
      </c>
      <c r="R7" s="435"/>
      <c r="S7" s="435"/>
      <c r="T7" s="435">
        <f>R6+S6+T6</f>
        <v>77300</v>
      </c>
      <c r="U7" s="435"/>
      <c r="V7" s="435"/>
      <c r="W7" s="435">
        <f>U6+V6+W6</f>
        <v>204800</v>
      </c>
      <c r="X7" s="435"/>
      <c r="Y7" s="435"/>
      <c r="Z7" s="435">
        <f>X6+Y6+Z6</f>
        <v>548005</v>
      </c>
      <c r="AA7" s="1513"/>
      <c r="AB7" s="1513"/>
    </row>
    <row r="8" spans="1:31" ht="19.2" customHeight="1">
      <c r="D8" s="1508"/>
      <c r="E8" s="1513"/>
      <c r="F8" s="1513"/>
      <c r="G8" s="3668" t="s">
        <v>2089</v>
      </c>
      <c r="H8" s="3668"/>
      <c r="I8" s="3668"/>
      <c r="J8" s="3668"/>
      <c r="K8" s="3668"/>
      <c r="L8" s="3668"/>
      <c r="M8" s="3668"/>
      <c r="N8" s="3668"/>
      <c r="O8" s="3668"/>
      <c r="P8" s="3668"/>
      <c r="Q8" s="3668"/>
      <c r="R8" s="3668"/>
      <c r="S8" s="1514"/>
      <c r="T8" s="1514"/>
      <c r="U8" s="1514"/>
      <c r="V8" s="1514"/>
      <c r="W8" s="1514"/>
      <c r="X8" s="1514"/>
      <c r="Y8" s="1514"/>
      <c r="Z8" s="1514"/>
      <c r="AA8" s="1514"/>
      <c r="AB8" s="1514"/>
    </row>
    <row r="9" spans="1:31" ht="16.2" customHeight="1">
      <c r="D9" s="1508"/>
      <c r="E9" s="1513"/>
      <c r="F9" s="1513"/>
      <c r="G9" s="3669"/>
      <c r="H9" s="3669"/>
      <c r="I9" s="3669"/>
      <c r="J9" s="3669"/>
      <c r="K9" s="3669"/>
      <c r="L9" s="3669"/>
      <c r="M9" s="3669"/>
      <c r="N9" s="3669"/>
      <c r="O9" s="3669"/>
      <c r="P9" s="3669"/>
      <c r="Q9" s="3669"/>
      <c r="R9" s="3669"/>
      <c r="S9" s="3669"/>
      <c r="T9" s="1515"/>
      <c r="U9" s="1515"/>
      <c r="V9" s="1515"/>
      <c r="W9" s="1515"/>
      <c r="X9" s="1515"/>
      <c r="Y9" s="1515"/>
      <c r="Z9" s="1515"/>
      <c r="AA9" s="1514"/>
      <c r="AB9" s="1515"/>
    </row>
    <row r="10" spans="1:31" ht="25.5" customHeight="1">
      <c r="A10" s="1516" t="s">
        <v>34</v>
      </c>
      <c r="B10" s="1517"/>
      <c r="C10" s="1518"/>
      <c r="D10" s="3130" t="s">
        <v>6</v>
      </c>
      <c r="E10" s="3670" t="s">
        <v>7</v>
      </c>
      <c r="F10" s="3670" t="s">
        <v>8</v>
      </c>
      <c r="G10" s="3670" t="s">
        <v>9</v>
      </c>
      <c r="H10" s="3673" t="s">
        <v>10</v>
      </c>
      <c r="I10" s="3674"/>
      <c r="J10" s="3674"/>
      <c r="K10" s="3675"/>
      <c r="L10" s="3679" t="s">
        <v>11</v>
      </c>
      <c r="M10" s="3680"/>
      <c r="N10" s="3125" t="s">
        <v>12</v>
      </c>
      <c r="O10" s="3655" t="s">
        <v>13</v>
      </c>
      <c r="P10" s="3655"/>
      <c r="Q10" s="3655"/>
      <c r="R10" s="3655"/>
      <c r="S10" s="3655"/>
      <c r="T10" s="3655"/>
      <c r="U10" s="3655"/>
      <c r="V10" s="3655"/>
      <c r="W10" s="3655"/>
      <c r="X10" s="3655"/>
      <c r="Y10" s="3655"/>
      <c r="Z10" s="3655"/>
      <c r="AA10" s="3670" t="s">
        <v>14</v>
      </c>
      <c r="AB10" s="3683" t="s">
        <v>15</v>
      </c>
    </row>
    <row r="11" spans="1:31">
      <c r="A11" s="1519"/>
      <c r="B11" s="1520"/>
      <c r="C11" s="1521"/>
      <c r="D11" s="3131"/>
      <c r="E11" s="3671"/>
      <c r="F11" s="3671"/>
      <c r="G11" s="3671"/>
      <c r="H11" s="3676"/>
      <c r="I11" s="3677"/>
      <c r="J11" s="3677"/>
      <c r="K11" s="3678"/>
      <c r="L11" s="3681"/>
      <c r="M11" s="3682"/>
      <c r="N11" s="3126"/>
      <c r="O11" s="3655" t="s">
        <v>16</v>
      </c>
      <c r="P11" s="3655"/>
      <c r="Q11" s="3655"/>
      <c r="R11" s="3655" t="s">
        <v>17</v>
      </c>
      <c r="S11" s="3655"/>
      <c r="T11" s="3655"/>
      <c r="U11" s="3655" t="s">
        <v>18</v>
      </c>
      <c r="V11" s="3655"/>
      <c r="W11" s="3655"/>
      <c r="X11" s="3655" t="s">
        <v>19</v>
      </c>
      <c r="Y11" s="3655"/>
      <c r="Z11" s="3655"/>
      <c r="AA11" s="3671"/>
      <c r="AB11" s="3683"/>
    </row>
    <row r="12" spans="1:31">
      <c r="A12" s="1522" t="s">
        <v>36</v>
      </c>
      <c r="B12" s="1522" t="s">
        <v>35</v>
      </c>
      <c r="C12" s="1522" t="s">
        <v>37</v>
      </c>
      <c r="D12" s="3131"/>
      <c r="E12" s="3672"/>
      <c r="F12" s="3672"/>
      <c r="G12" s="3672"/>
      <c r="H12" s="1523">
        <v>1</v>
      </c>
      <c r="I12" s="1523">
        <v>2</v>
      </c>
      <c r="J12" s="1523">
        <v>3</v>
      </c>
      <c r="K12" s="1523">
        <v>4</v>
      </c>
      <c r="L12" s="1524" t="s">
        <v>20</v>
      </c>
      <c r="M12" s="1525" t="s">
        <v>21</v>
      </c>
      <c r="N12" s="3127"/>
      <c r="O12" s="1526" t="s">
        <v>22</v>
      </c>
      <c r="P12" s="1526" t="s">
        <v>23</v>
      </c>
      <c r="Q12" s="1526" t="s">
        <v>24</v>
      </c>
      <c r="R12" s="1526" t="s">
        <v>25</v>
      </c>
      <c r="S12" s="1526" t="s">
        <v>26</v>
      </c>
      <c r="T12" s="1526" t="s">
        <v>27</v>
      </c>
      <c r="U12" s="1526" t="s">
        <v>28</v>
      </c>
      <c r="V12" s="1526" t="s">
        <v>29</v>
      </c>
      <c r="W12" s="1526" t="s">
        <v>30</v>
      </c>
      <c r="X12" s="1526" t="s">
        <v>31</v>
      </c>
      <c r="Y12" s="1526" t="s">
        <v>32</v>
      </c>
      <c r="Z12" s="1526" t="s">
        <v>33</v>
      </c>
      <c r="AA12" s="3672"/>
      <c r="AB12" s="3683"/>
    </row>
    <row r="13" spans="1:31" ht="23.25" customHeight="1">
      <c r="A13" s="1684">
        <v>3</v>
      </c>
      <c r="B13" s="1684">
        <v>10</v>
      </c>
      <c r="C13" s="1684">
        <v>30</v>
      </c>
      <c r="D13" s="1527">
        <v>1</v>
      </c>
      <c r="E13" s="3658" t="s">
        <v>2090</v>
      </c>
      <c r="F13" s="3659"/>
      <c r="G13" s="3659"/>
      <c r="H13" s="3659"/>
      <c r="I13" s="3659"/>
      <c r="J13" s="3659"/>
      <c r="K13" s="3659"/>
      <c r="L13" s="3659"/>
      <c r="M13" s="1528"/>
      <c r="N13" s="1529">
        <f>SUM(M14:M25)</f>
        <v>203525</v>
      </c>
      <c r="O13" s="1530">
        <f t="shared" ref="O13:Z13" si="1">SUM(O14:O25)</f>
        <v>1900</v>
      </c>
      <c r="P13" s="1530">
        <f t="shared" si="1"/>
        <v>4400</v>
      </c>
      <c r="Q13" s="1530">
        <f t="shared" si="1"/>
        <v>4400</v>
      </c>
      <c r="R13" s="1530">
        <f t="shared" si="1"/>
        <v>21900</v>
      </c>
      <c r="S13" s="1530">
        <f t="shared" si="1"/>
        <v>24400</v>
      </c>
      <c r="T13" s="1530">
        <f t="shared" si="1"/>
        <v>1900</v>
      </c>
      <c r="U13" s="1530">
        <f t="shared" si="1"/>
        <v>22550</v>
      </c>
      <c r="V13" s="1530">
        <f t="shared" si="1"/>
        <v>21900</v>
      </c>
      <c r="W13" s="1530">
        <f t="shared" si="1"/>
        <v>44600</v>
      </c>
      <c r="X13" s="1530">
        <f t="shared" si="1"/>
        <v>24400</v>
      </c>
      <c r="Y13" s="1530">
        <f t="shared" si="1"/>
        <v>4400</v>
      </c>
      <c r="Z13" s="1530">
        <f t="shared" si="1"/>
        <v>26775</v>
      </c>
      <c r="AA13" s="1531" t="s">
        <v>2988</v>
      </c>
      <c r="AB13" s="1531" t="s">
        <v>280</v>
      </c>
    </row>
    <row r="14" spans="1:31" ht="82.5" customHeight="1">
      <c r="A14" s="1532"/>
      <c r="B14" s="1532"/>
      <c r="C14" s="1532"/>
      <c r="D14" s="1533"/>
      <c r="E14" s="1534" t="s">
        <v>2091</v>
      </c>
      <c r="F14" s="1534" t="s">
        <v>2092</v>
      </c>
      <c r="G14" s="1534" t="s">
        <v>2093</v>
      </c>
      <c r="H14" s="1535">
        <v>1</v>
      </c>
      <c r="I14" s="1535">
        <v>1</v>
      </c>
      <c r="J14" s="1535">
        <v>1</v>
      </c>
      <c r="K14" s="1535">
        <v>1</v>
      </c>
      <c r="L14" s="1536" t="s">
        <v>2094</v>
      </c>
      <c r="M14" s="1537">
        <v>20000</v>
      </c>
      <c r="N14" s="1538"/>
      <c r="O14" s="1538"/>
      <c r="P14" s="1538">
        <v>2500</v>
      </c>
      <c r="Q14" s="1538">
        <v>2500</v>
      </c>
      <c r="R14" s="1538"/>
      <c r="S14" s="1538">
        <v>2500</v>
      </c>
      <c r="T14" s="1538"/>
      <c r="U14" s="1538">
        <v>2500</v>
      </c>
      <c r="V14" s="1538"/>
      <c r="W14" s="1538">
        <v>2500</v>
      </c>
      <c r="X14" s="1538">
        <v>2500</v>
      </c>
      <c r="Y14" s="1538">
        <v>2500</v>
      </c>
      <c r="Z14" s="1538">
        <v>2500</v>
      </c>
      <c r="AA14" s="1534" t="s">
        <v>2095</v>
      </c>
      <c r="AB14" s="1539" t="s">
        <v>2096</v>
      </c>
      <c r="AE14" s="132" t="s">
        <v>978</v>
      </c>
    </row>
    <row r="15" spans="1:31" ht="71.150000000000006" customHeight="1">
      <c r="A15" s="1532"/>
      <c r="B15" s="1532"/>
      <c r="C15" s="1532"/>
      <c r="D15" s="1533"/>
      <c r="E15" s="1540" t="s">
        <v>2097</v>
      </c>
      <c r="F15" s="1540" t="s">
        <v>2098</v>
      </c>
      <c r="G15" s="1540" t="s">
        <v>2099</v>
      </c>
      <c r="H15" s="1541" t="s">
        <v>239</v>
      </c>
      <c r="I15" s="1541" t="s">
        <v>239</v>
      </c>
      <c r="J15" s="1541" t="s">
        <v>239</v>
      </c>
      <c r="K15" s="1541" t="s">
        <v>239</v>
      </c>
      <c r="L15" s="1540" t="s">
        <v>2100</v>
      </c>
      <c r="M15" s="1542">
        <f>20*1000*5</f>
        <v>100000</v>
      </c>
      <c r="N15" s="1542"/>
      <c r="O15" s="1542"/>
      <c r="P15" s="1542"/>
      <c r="Q15" s="1542"/>
      <c r="R15" s="1542">
        <v>20000</v>
      </c>
      <c r="S15" s="1542">
        <v>20000</v>
      </c>
      <c r="T15" s="1542"/>
      <c r="U15" s="1542"/>
      <c r="V15" s="1542">
        <v>20000</v>
      </c>
      <c r="W15" s="1542"/>
      <c r="X15" s="1542">
        <v>20000</v>
      </c>
      <c r="Y15" s="1542"/>
      <c r="Z15" s="1542">
        <v>20000</v>
      </c>
      <c r="AA15" s="1543" t="s">
        <v>2101</v>
      </c>
      <c r="AB15" s="1544" t="s">
        <v>2096</v>
      </c>
    </row>
    <row r="16" spans="1:31" ht="111" customHeight="1">
      <c r="A16" s="1532"/>
      <c r="B16" s="1532"/>
      <c r="C16" s="1532"/>
      <c r="D16" s="1545"/>
      <c r="E16" s="1546" t="s">
        <v>2102</v>
      </c>
      <c r="F16" s="1546" t="s">
        <v>2103</v>
      </c>
      <c r="G16" s="1546" t="s">
        <v>2104</v>
      </c>
      <c r="H16" s="1547" t="s">
        <v>239</v>
      </c>
      <c r="I16" s="1547" t="s">
        <v>239</v>
      </c>
      <c r="J16" s="1547" t="s">
        <v>239</v>
      </c>
      <c r="K16" s="1547" t="s">
        <v>239</v>
      </c>
      <c r="L16" s="1546"/>
      <c r="M16" s="1548"/>
      <c r="N16" s="1548"/>
      <c r="O16" s="1548"/>
      <c r="P16" s="1548"/>
      <c r="Q16" s="1548"/>
      <c r="R16" s="1548"/>
      <c r="S16" s="1548"/>
      <c r="T16" s="1548"/>
      <c r="U16" s="1548"/>
      <c r="V16" s="1548"/>
      <c r="W16" s="1548"/>
      <c r="X16" s="1548"/>
      <c r="Y16" s="1548"/>
      <c r="Z16" s="1548"/>
      <c r="AA16" s="1549" t="s">
        <v>2105</v>
      </c>
      <c r="AB16" s="1550" t="s">
        <v>2096</v>
      </c>
    </row>
    <row r="17" spans="1:29" ht="77.150000000000006" customHeight="1">
      <c r="A17" s="1532"/>
      <c r="B17" s="1532"/>
      <c r="C17" s="1532"/>
      <c r="D17" s="1533"/>
      <c r="E17" s="1551" t="s">
        <v>2106</v>
      </c>
      <c r="F17" s="1551" t="s">
        <v>2107</v>
      </c>
      <c r="G17" s="1551" t="s">
        <v>2108</v>
      </c>
      <c r="H17" s="1552"/>
      <c r="I17" s="1552"/>
      <c r="J17" s="1552"/>
      <c r="K17" s="1552"/>
      <c r="L17" s="1553" t="s">
        <v>2109</v>
      </c>
      <c r="M17" s="1554">
        <v>22800</v>
      </c>
      <c r="N17" s="1555"/>
      <c r="O17" s="1554">
        <v>1900</v>
      </c>
      <c r="P17" s="1554">
        <v>1900</v>
      </c>
      <c r="Q17" s="1554">
        <v>1900</v>
      </c>
      <c r="R17" s="1554">
        <v>1900</v>
      </c>
      <c r="S17" s="1554">
        <v>1900</v>
      </c>
      <c r="T17" s="1554">
        <v>1900</v>
      </c>
      <c r="U17" s="1554">
        <v>1900</v>
      </c>
      <c r="V17" s="1554">
        <v>1900</v>
      </c>
      <c r="W17" s="1554">
        <v>1900</v>
      </c>
      <c r="X17" s="1554">
        <v>1900</v>
      </c>
      <c r="Y17" s="1554">
        <v>1900</v>
      </c>
      <c r="Z17" s="1554">
        <v>1900</v>
      </c>
      <c r="AA17" s="1556" t="s">
        <v>2110</v>
      </c>
      <c r="AB17" s="1557" t="s">
        <v>2096</v>
      </c>
    </row>
    <row r="18" spans="1:29" ht="86.25" customHeight="1">
      <c r="A18" s="1532"/>
      <c r="B18" s="1532"/>
      <c r="C18" s="1532"/>
      <c r="D18" s="1545"/>
      <c r="E18" s="1551" t="s">
        <v>2111</v>
      </c>
      <c r="F18" s="1551" t="s">
        <v>2112</v>
      </c>
      <c r="G18" s="1551" t="s">
        <v>2113</v>
      </c>
      <c r="H18" s="1552"/>
      <c r="I18" s="1552"/>
      <c r="J18" s="1552"/>
      <c r="K18" s="1552"/>
      <c r="L18" s="1558" t="s">
        <v>2114</v>
      </c>
      <c r="M18" s="1559">
        <v>2375</v>
      </c>
      <c r="N18" s="1555"/>
      <c r="O18" s="1554"/>
      <c r="P18" s="1554"/>
      <c r="Q18" s="1554"/>
      <c r="R18" s="1554"/>
      <c r="S18" s="1554"/>
      <c r="T18" s="1554"/>
      <c r="U18" s="1554"/>
      <c r="V18" s="1554"/>
      <c r="W18" s="1554"/>
      <c r="X18" s="1554"/>
      <c r="Y18" s="1554"/>
      <c r="Z18" s="1554">
        <v>2375</v>
      </c>
      <c r="AA18" s="1556" t="s">
        <v>2115</v>
      </c>
      <c r="AB18" s="1557" t="s">
        <v>2096</v>
      </c>
    </row>
    <row r="19" spans="1:29" ht="83.25" customHeight="1">
      <c r="A19" s="1532"/>
      <c r="B19" s="1532"/>
      <c r="C19" s="1532"/>
      <c r="D19" s="1545"/>
      <c r="E19" s="1551" t="s">
        <v>2116</v>
      </c>
      <c r="F19" s="1551" t="s">
        <v>2117</v>
      </c>
      <c r="G19" s="1551" t="s">
        <v>2118</v>
      </c>
      <c r="H19" s="1552"/>
      <c r="I19" s="1552"/>
      <c r="J19" s="1552"/>
      <c r="K19" s="1552"/>
      <c r="L19" s="1558" t="s">
        <v>2119</v>
      </c>
      <c r="M19" s="1559">
        <v>9600</v>
      </c>
      <c r="N19" s="1555"/>
      <c r="O19" s="1554"/>
      <c r="P19" s="1554"/>
      <c r="Q19" s="1554"/>
      <c r="R19" s="1554"/>
      <c r="S19" s="1554"/>
      <c r="T19" s="1554"/>
      <c r="U19" s="1554">
        <v>9600</v>
      </c>
      <c r="V19" s="1554"/>
      <c r="W19" s="1554"/>
      <c r="X19" s="1554"/>
      <c r="Y19" s="1554"/>
      <c r="Z19" s="1554"/>
      <c r="AA19" s="1556" t="s">
        <v>2120</v>
      </c>
      <c r="AB19" s="1557" t="s">
        <v>2096</v>
      </c>
    </row>
    <row r="20" spans="1:29" ht="80.25" customHeight="1">
      <c r="A20" s="1532"/>
      <c r="B20" s="1532"/>
      <c r="C20" s="1532"/>
      <c r="D20" s="1560"/>
      <c r="E20" s="1551" t="s">
        <v>2121</v>
      </c>
      <c r="F20" s="1551" t="s">
        <v>2122</v>
      </c>
      <c r="G20" s="1551" t="s">
        <v>2123</v>
      </c>
      <c r="H20" s="1552"/>
      <c r="I20" s="1552"/>
      <c r="J20" s="1552"/>
      <c r="K20" s="1552"/>
      <c r="L20" s="1553" t="s">
        <v>2124</v>
      </c>
      <c r="M20" s="1554">
        <v>17100</v>
      </c>
      <c r="N20" s="1555"/>
      <c r="O20" s="1554"/>
      <c r="P20" s="1554"/>
      <c r="Q20" s="1554"/>
      <c r="R20" s="1554"/>
      <c r="S20" s="1554"/>
      <c r="T20" s="1554"/>
      <c r="U20" s="1554"/>
      <c r="V20" s="1554"/>
      <c r="W20" s="1554">
        <v>17100</v>
      </c>
      <c r="X20" s="1554"/>
      <c r="Y20" s="1554"/>
      <c r="Z20" s="1554"/>
      <c r="AA20" s="1556" t="s">
        <v>2125</v>
      </c>
      <c r="AB20" s="1557" t="s">
        <v>2096</v>
      </c>
    </row>
    <row r="21" spans="1:29" ht="82.4" customHeight="1">
      <c r="A21" s="1532"/>
      <c r="B21" s="1532"/>
      <c r="C21" s="1532"/>
      <c r="D21" s="1561"/>
      <c r="E21" s="1551" t="s">
        <v>2126</v>
      </c>
      <c r="F21" s="1562" t="s">
        <v>2122</v>
      </c>
      <c r="G21" s="1551" t="s">
        <v>2123</v>
      </c>
      <c r="H21" s="1563"/>
      <c r="I21" s="1552"/>
      <c r="J21" s="1552"/>
      <c r="K21" s="1552"/>
      <c r="L21" s="1558" t="s">
        <v>2127</v>
      </c>
      <c r="M21" s="1559">
        <f>30*95*3</f>
        <v>8550</v>
      </c>
      <c r="N21" s="1555"/>
      <c r="O21" s="1554"/>
      <c r="P21" s="1554"/>
      <c r="Q21" s="1554"/>
      <c r="R21" s="1554"/>
      <c r="S21" s="1554"/>
      <c r="U21" s="1554">
        <v>8550</v>
      </c>
      <c r="V21" s="1554"/>
      <c r="W21" s="1554"/>
      <c r="X21" s="1554"/>
      <c r="Y21" s="1554"/>
      <c r="Z21" s="1564"/>
      <c r="AA21" s="1565" t="s">
        <v>2128</v>
      </c>
      <c r="AB21" s="1557"/>
    </row>
    <row r="22" spans="1:29" ht="116.25" customHeight="1">
      <c r="A22" s="1532"/>
      <c r="B22" s="1532"/>
      <c r="C22" s="1532"/>
      <c r="D22" s="1545"/>
      <c r="E22" s="1551"/>
      <c r="F22" s="1562"/>
      <c r="G22" s="1551"/>
      <c r="H22" s="1563"/>
      <c r="I22" s="1552"/>
      <c r="J22" s="1552"/>
      <c r="K22" s="1552"/>
      <c r="L22" s="1558" t="s">
        <v>2129</v>
      </c>
      <c r="M22" s="1566">
        <f>45*95*4</f>
        <v>17100</v>
      </c>
      <c r="N22" s="1555"/>
      <c r="O22" s="1554"/>
      <c r="P22" s="1554"/>
      <c r="Q22" s="1554"/>
      <c r="R22" s="1554"/>
      <c r="S22" s="1554"/>
      <c r="T22" s="1554"/>
      <c r="U22" s="1554"/>
      <c r="V22" s="1554"/>
      <c r="W22" s="1554">
        <v>17100</v>
      </c>
      <c r="X22" s="1554"/>
      <c r="Y22" s="1554"/>
      <c r="Z22" s="1564"/>
      <c r="AA22" s="1565" t="s">
        <v>2130</v>
      </c>
      <c r="AB22" s="1557"/>
    </row>
    <row r="23" spans="1:29" ht="63" customHeight="1">
      <c r="A23" s="1532"/>
      <c r="B23" s="1532"/>
      <c r="C23" s="1532"/>
      <c r="D23" s="1545"/>
      <c r="E23" s="1553" t="s">
        <v>2131</v>
      </c>
      <c r="F23" s="1553"/>
      <c r="G23" s="1551"/>
      <c r="H23" s="1563"/>
      <c r="I23" s="1552"/>
      <c r="J23" s="1552"/>
      <c r="K23" s="1552"/>
      <c r="L23" s="1553"/>
      <c r="M23" s="1554" t="s">
        <v>2132</v>
      </c>
      <c r="N23" s="1555"/>
      <c r="O23" s="1554"/>
      <c r="P23" s="1554"/>
      <c r="Q23" s="1554"/>
      <c r="R23" s="1554"/>
      <c r="S23" s="1554"/>
      <c r="T23" s="1554"/>
      <c r="U23" s="1554"/>
      <c r="V23" s="1554"/>
      <c r="W23" s="1554"/>
      <c r="X23" s="1554"/>
      <c r="Y23" s="1554"/>
      <c r="Z23" s="1564"/>
      <c r="AA23" s="1565" t="s">
        <v>2133</v>
      </c>
      <c r="AB23" s="1557"/>
    </row>
    <row r="24" spans="1:29" ht="57.9" customHeight="1">
      <c r="A24" s="1532"/>
      <c r="B24" s="1532"/>
      <c r="C24" s="1532"/>
      <c r="D24" s="1545"/>
      <c r="E24" s="1553" t="s">
        <v>2134</v>
      </c>
      <c r="F24" s="1553"/>
      <c r="G24" s="1551"/>
      <c r="H24" s="1563"/>
      <c r="I24" s="1552"/>
      <c r="J24" s="1552"/>
      <c r="K24" s="1552"/>
      <c r="L24" s="1553" t="s">
        <v>2135</v>
      </c>
      <c r="M24" s="1554">
        <v>6000</v>
      </c>
      <c r="N24" s="1555"/>
      <c r="O24" s="1554"/>
      <c r="P24" s="1554"/>
      <c r="Q24" s="1554"/>
      <c r="R24" s="1554"/>
      <c r="S24" s="1554"/>
      <c r="T24" s="1554"/>
      <c r="U24" s="1554"/>
      <c r="V24" s="1554"/>
      <c r="W24" s="1554">
        <v>6000</v>
      </c>
      <c r="X24" s="1554"/>
      <c r="Y24" s="1554"/>
      <c r="Z24" s="1564"/>
      <c r="AA24" s="1565" t="s">
        <v>2136</v>
      </c>
      <c r="AB24" s="1567"/>
    </row>
    <row r="25" spans="1:29" ht="43.95" customHeight="1">
      <c r="A25" s="1532"/>
      <c r="B25" s="1532"/>
      <c r="C25" s="1532"/>
      <c r="D25" s="1545"/>
      <c r="E25" s="1568" t="s">
        <v>2137</v>
      </c>
      <c r="F25" s="1569"/>
      <c r="G25" s="1568"/>
      <c r="H25" s="1570"/>
      <c r="I25" s="1571"/>
      <c r="J25" s="1571"/>
      <c r="K25" s="1571"/>
      <c r="L25" s="1568"/>
      <c r="M25" s="1572" t="s">
        <v>2132</v>
      </c>
      <c r="N25" s="1572"/>
      <c r="O25" s="1572"/>
      <c r="P25" s="1572"/>
      <c r="Q25" s="1572"/>
      <c r="R25" s="1572"/>
      <c r="S25" s="1572"/>
      <c r="T25" s="1572"/>
      <c r="U25" s="1572"/>
      <c r="V25" s="1572"/>
      <c r="W25" s="1572"/>
      <c r="X25" s="1572"/>
      <c r="Y25" s="1572"/>
      <c r="Z25" s="1573"/>
      <c r="AA25" s="1574"/>
      <c r="AB25" s="1575"/>
    </row>
    <row r="26" spans="1:29" ht="36" customHeight="1">
      <c r="A26" s="1532">
        <v>3</v>
      </c>
      <c r="B26" s="1532">
        <v>10</v>
      </c>
      <c r="C26" s="1532">
        <v>30</v>
      </c>
      <c r="D26" s="1576">
        <v>2</v>
      </c>
      <c r="E26" s="3660" t="s">
        <v>2138</v>
      </c>
      <c r="F26" s="3661"/>
      <c r="G26" s="3661"/>
      <c r="H26" s="3661"/>
      <c r="I26" s="3661"/>
      <c r="J26" s="3661"/>
      <c r="K26" s="3661"/>
      <c r="L26" s="3661"/>
      <c r="M26" s="1577">
        <v>4200</v>
      </c>
      <c r="N26" s="1578">
        <v>4200</v>
      </c>
      <c r="O26" s="1579"/>
      <c r="P26" s="1580">
        <f t="shared" ref="P26:X26" si="2">SUM(P27:P31)</f>
        <v>0</v>
      </c>
      <c r="Q26" s="1580">
        <f t="shared" si="2"/>
        <v>0</v>
      </c>
      <c r="R26" s="1580">
        <v>4200</v>
      </c>
      <c r="S26" s="1580"/>
      <c r="T26" s="1580"/>
      <c r="U26" s="1580">
        <f t="shared" si="2"/>
        <v>0</v>
      </c>
      <c r="V26" s="1580">
        <f t="shared" si="2"/>
        <v>0</v>
      </c>
      <c r="W26" s="1580">
        <f t="shared" si="2"/>
        <v>0</v>
      </c>
      <c r="X26" s="1580">
        <f t="shared" si="2"/>
        <v>0</v>
      </c>
      <c r="Y26" s="1580"/>
      <c r="Z26" s="1580"/>
      <c r="AA26" s="1581" t="s">
        <v>2988</v>
      </c>
      <c r="AB26" s="1582" t="s">
        <v>280</v>
      </c>
    </row>
    <row r="27" spans="1:29" ht="258" customHeight="1">
      <c r="A27" s="1532"/>
      <c r="B27" s="1532"/>
      <c r="C27" s="1532"/>
      <c r="D27" s="1583"/>
      <c r="E27" s="1584" t="s">
        <v>2140</v>
      </c>
      <c r="F27" s="1584" t="s">
        <v>2141</v>
      </c>
      <c r="G27" s="1585" t="s">
        <v>2142</v>
      </c>
      <c r="H27" s="1586" t="s">
        <v>768</v>
      </c>
      <c r="I27" s="1586" t="s">
        <v>239</v>
      </c>
      <c r="J27" s="1586" t="s">
        <v>239</v>
      </c>
      <c r="K27" s="1586" t="s">
        <v>239</v>
      </c>
      <c r="L27" s="1587" t="s">
        <v>2143</v>
      </c>
      <c r="M27" s="1581">
        <f>35*120*1</f>
        <v>4200</v>
      </c>
      <c r="N27" s="1581"/>
      <c r="O27" s="1586"/>
      <c r="P27" s="1586"/>
      <c r="Q27" s="1586"/>
      <c r="R27" s="1581">
        <v>4200</v>
      </c>
      <c r="S27" s="1586"/>
      <c r="T27" s="1586"/>
      <c r="U27" s="1586"/>
      <c r="V27" s="1586"/>
      <c r="W27" s="1586"/>
      <c r="X27" s="1586"/>
      <c r="Y27" s="1586"/>
      <c r="Z27" s="1586"/>
      <c r="AA27" s="1581" t="s">
        <v>2139</v>
      </c>
      <c r="AB27" s="1582" t="s">
        <v>2096</v>
      </c>
    </row>
    <row r="28" spans="1:29" ht="47.25" customHeight="1">
      <c r="A28" s="2876">
        <v>3</v>
      </c>
      <c r="B28" s="2876">
        <v>10</v>
      </c>
      <c r="C28" s="2876">
        <v>30</v>
      </c>
      <c r="D28" s="102">
        <v>3</v>
      </c>
      <c r="E28" s="3662" t="s">
        <v>2144</v>
      </c>
      <c r="F28" s="3663"/>
      <c r="G28" s="3663"/>
      <c r="H28" s="3663"/>
      <c r="I28" s="3663"/>
      <c r="J28" s="3663"/>
      <c r="K28" s="3663"/>
      <c r="L28" s="3663"/>
      <c r="M28" s="1588">
        <v>262000</v>
      </c>
      <c r="N28" s="1588">
        <f>SUM(M32:M34)</f>
        <v>262000</v>
      </c>
      <c r="O28" s="1589">
        <f t="shared" ref="O28:Z28" si="3">SUM(O29:O34)</f>
        <v>0</v>
      </c>
      <c r="P28" s="1589">
        <f t="shared" si="3"/>
        <v>0</v>
      </c>
      <c r="Q28" s="1589">
        <f t="shared" si="3"/>
        <v>0</v>
      </c>
      <c r="R28" s="1589">
        <f t="shared" si="3"/>
        <v>0</v>
      </c>
      <c r="S28" s="1589">
        <f t="shared" si="3"/>
        <v>0</v>
      </c>
      <c r="T28" s="1589">
        <f t="shared" si="3"/>
        <v>0</v>
      </c>
      <c r="U28" s="1589">
        <f t="shared" si="3"/>
        <v>0</v>
      </c>
      <c r="V28" s="1589">
        <f t="shared" si="3"/>
        <v>0</v>
      </c>
      <c r="W28" s="1589">
        <f t="shared" si="3"/>
        <v>0</v>
      </c>
      <c r="X28" s="1589">
        <f t="shared" si="3"/>
        <v>0</v>
      </c>
      <c r="Y28" s="1589">
        <f t="shared" si="3"/>
        <v>262000</v>
      </c>
      <c r="Z28" s="1589">
        <f t="shared" si="3"/>
        <v>0</v>
      </c>
      <c r="AA28" s="1590" t="s">
        <v>2988</v>
      </c>
      <c r="AB28" s="2875" t="s">
        <v>2993</v>
      </c>
    </row>
    <row r="29" spans="1:29" ht="63.75" customHeight="1">
      <c r="A29" s="1532"/>
      <c r="B29" s="1532"/>
      <c r="C29" s="1532"/>
      <c r="D29" s="1561"/>
      <c r="E29" s="1591" t="s">
        <v>2146</v>
      </c>
      <c r="F29" s="1592" t="s">
        <v>2147</v>
      </c>
      <c r="G29" s="1591" t="s">
        <v>2148</v>
      </c>
      <c r="H29" s="1592"/>
      <c r="I29" s="1592"/>
      <c r="J29" s="1592"/>
      <c r="K29" s="1592"/>
      <c r="L29" s="1593" t="s">
        <v>2149</v>
      </c>
      <c r="M29" s="1594"/>
      <c r="N29" s="1595"/>
      <c r="O29" s="1596"/>
      <c r="P29" s="1596"/>
      <c r="Q29" s="1596"/>
      <c r="R29" s="1596"/>
      <c r="S29" s="1597"/>
      <c r="T29" s="1596"/>
      <c r="U29" s="1596"/>
      <c r="V29" s="1594"/>
      <c r="W29" s="1596"/>
      <c r="X29" s="1596"/>
      <c r="Y29" s="1596"/>
      <c r="Z29" s="1596"/>
      <c r="AA29" s="1591" t="s">
        <v>2150</v>
      </c>
      <c r="AB29" s="1597"/>
      <c r="AC29" s="1598" t="s">
        <v>2151</v>
      </c>
    </row>
    <row r="30" spans="1:29" ht="48" customHeight="1">
      <c r="A30" s="1532"/>
      <c r="B30" s="1532"/>
      <c r="C30" s="1532"/>
      <c r="D30" s="1561"/>
      <c r="E30" s="176" t="s">
        <v>2152</v>
      </c>
      <c r="F30" s="1591"/>
      <c r="G30" s="176" t="s">
        <v>2153</v>
      </c>
      <c r="H30" s="1592"/>
      <c r="I30" s="1592"/>
      <c r="J30" s="1592"/>
      <c r="K30" s="1592"/>
      <c r="L30" s="1593" t="s">
        <v>2149</v>
      </c>
      <c r="M30" s="1594"/>
      <c r="N30" s="1595"/>
      <c r="O30" s="1596"/>
      <c r="P30" s="1596"/>
      <c r="Q30" s="1596"/>
      <c r="R30" s="1596"/>
      <c r="S30" s="1597"/>
      <c r="T30" s="1596"/>
      <c r="U30" s="1596"/>
      <c r="V30" s="1594"/>
      <c r="W30" s="1596"/>
      <c r="X30" s="1596"/>
      <c r="Y30" s="1596"/>
      <c r="Z30" s="1596"/>
      <c r="AA30" s="1591"/>
      <c r="AB30" s="1597"/>
      <c r="AC30" s="1598" t="s">
        <v>2151</v>
      </c>
    </row>
    <row r="31" spans="1:29" ht="42" customHeight="1">
      <c r="A31" s="1532"/>
      <c r="B31" s="1532"/>
      <c r="C31" s="1532"/>
      <c r="D31" s="1561"/>
      <c r="E31" s="1591" t="s">
        <v>2154</v>
      </c>
      <c r="F31" s="1591"/>
      <c r="G31" s="1591" t="s">
        <v>2155</v>
      </c>
      <c r="H31" s="1592"/>
      <c r="I31" s="1592"/>
      <c r="J31" s="1592"/>
      <c r="K31" s="1592"/>
      <c r="L31" s="1593" t="s">
        <v>2149</v>
      </c>
      <c r="M31" s="1594"/>
      <c r="N31" s="1595"/>
      <c r="O31" s="1596"/>
      <c r="P31" s="1596"/>
      <c r="Q31" s="1596"/>
      <c r="R31" s="1596"/>
      <c r="S31" s="1597"/>
      <c r="T31" s="1596">
        <f>M31</f>
        <v>0</v>
      </c>
      <c r="U31" s="1596"/>
      <c r="V31" s="1594"/>
      <c r="W31" s="1596"/>
      <c r="X31" s="1596"/>
      <c r="Y31" s="1596"/>
      <c r="Z31" s="1596"/>
      <c r="AA31" s="1599"/>
      <c r="AB31" s="1597"/>
      <c r="AC31" s="1598" t="s">
        <v>2151</v>
      </c>
    </row>
    <row r="32" spans="1:29" ht="58.5" customHeight="1">
      <c r="A32" s="1532"/>
      <c r="B32" s="1532"/>
      <c r="C32" s="1532"/>
      <c r="D32" s="1532"/>
      <c r="E32" s="1591" t="s">
        <v>2156</v>
      </c>
      <c r="F32" s="1591"/>
      <c r="G32" s="1591" t="s">
        <v>2157</v>
      </c>
      <c r="H32" s="1592"/>
      <c r="I32" s="1592"/>
      <c r="J32" s="1592"/>
      <c r="K32" s="1592" t="s">
        <v>768</v>
      </c>
      <c r="L32" s="1591" t="s">
        <v>2158</v>
      </c>
      <c r="M32" s="1600">
        <v>90000</v>
      </c>
      <c r="N32" s="1600"/>
      <c r="O32" s="1600"/>
      <c r="P32" s="1600"/>
      <c r="Q32" s="1600"/>
      <c r="R32" s="1600"/>
      <c r="S32" s="1600"/>
      <c r="T32" s="1600"/>
      <c r="U32" s="1600"/>
      <c r="V32" s="1600"/>
      <c r="W32" s="1600"/>
      <c r="X32" s="1600"/>
      <c r="Y32" s="1600">
        <v>90000</v>
      </c>
      <c r="Z32" s="1600"/>
      <c r="AA32" s="1599"/>
      <c r="AB32" s="1522" t="s">
        <v>2145</v>
      </c>
    </row>
    <row r="33" spans="1:33" ht="58.5" customHeight="1">
      <c r="A33" s="1532"/>
      <c r="B33" s="1532"/>
      <c r="C33" s="1532"/>
      <c r="D33" s="1532"/>
      <c r="E33" s="1591" t="s">
        <v>2159</v>
      </c>
      <c r="F33" s="1591"/>
      <c r="G33" s="1591" t="s">
        <v>2160</v>
      </c>
      <c r="H33" s="1592"/>
      <c r="I33" s="1592"/>
      <c r="J33" s="1592"/>
      <c r="K33" s="1592" t="s">
        <v>768</v>
      </c>
      <c r="L33" s="1591" t="s">
        <v>2161</v>
      </c>
      <c r="M33" s="1600">
        <v>72000</v>
      </c>
      <c r="N33" s="1600"/>
      <c r="O33" s="1600"/>
      <c r="P33" s="1600"/>
      <c r="Q33" s="1600"/>
      <c r="R33" s="1600"/>
      <c r="S33" s="1600"/>
      <c r="T33" s="1600"/>
      <c r="U33" s="1600"/>
      <c r="V33" s="1600"/>
      <c r="W33" s="1600"/>
      <c r="X33" s="1600"/>
      <c r="Y33" s="1600">
        <v>72000</v>
      </c>
      <c r="Z33" s="1600"/>
      <c r="AA33" s="1599"/>
      <c r="AB33" s="1522" t="s">
        <v>2145</v>
      </c>
    </row>
    <row r="34" spans="1:33" ht="37.299999999999997">
      <c r="A34" s="1601"/>
      <c r="B34" s="1601"/>
      <c r="C34" s="1601"/>
      <c r="D34" s="1601"/>
      <c r="E34" s="1591" t="s">
        <v>2162</v>
      </c>
      <c r="F34" s="1591"/>
      <c r="G34" s="1591" t="s">
        <v>2163</v>
      </c>
      <c r="H34" s="1592"/>
      <c r="I34" s="1592"/>
      <c r="J34" s="1592"/>
      <c r="K34" s="1592" t="s">
        <v>768</v>
      </c>
      <c r="L34" s="1591" t="s">
        <v>2164</v>
      </c>
      <c r="M34" s="1600">
        <v>100000</v>
      </c>
      <c r="N34" s="1600"/>
      <c r="O34" s="1600"/>
      <c r="P34" s="1600"/>
      <c r="Q34" s="1600"/>
      <c r="R34" s="1600"/>
      <c r="S34" s="1600"/>
      <c r="T34" s="1600"/>
      <c r="U34" s="1600"/>
      <c r="V34" s="1600"/>
      <c r="W34" s="1600"/>
      <c r="X34" s="1600"/>
      <c r="Y34" s="1600">
        <v>100000</v>
      </c>
      <c r="Z34" s="1600"/>
      <c r="AA34" s="1599"/>
      <c r="AB34" s="1522" t="s">
        <v>2145</v>
      </c>
    </row>
    <row r="35" spans="1:33" ht="25.5" customHeight="1">
      <c r="A35" s="1645">
        <v>3</v>
      </c>
      <c r="B35" s="1645">
        <v>10</v>
      </c>
      <c r="C35" s="1684">
        <v>30</v>
      </c>
      <c r="D35" s="1603">
        <v>4</v>
      </c>
      <c r="E35" s="3662" t="s">
        <v>2165</v>
      </c>
      <c r="F35" s="3663"/>
      <c r="G35" s="3663"/>
      <c r="H35" s="3663"/>
      <c r="I35" s="3663"/>
      <c r="J35" s="3663"/>
      <c r="K35" s="3663"/>
      <c r="L35" s="3664"/>
      <c r="M35" s="1604">
        <v>11250</v>
      </c>
      <c r="N35" s="1605">
        <f>M37+M38+M39+M40</f>
        <v>11250</v>
      </c>
      <c r="O35" s="1606">
        <f t="shared" ref="O35:Z35" si="4">SUM(O36:O51)</f>
        <v>0</v>
      </c>
      <c r="P35" s="1606">
        <f t="shared" si="4"/>
        <v>0</v>
      </c>
      <c r="Q35" s="1606">
        <f t="shared" si="4"/>
        <v>0</v>
      </c>
      <c r="R35" s="1606">
        <f t="shared" si="4"/>
        <v>1500</v>
      </c>
      <c r="S35" s="1606">
        <f t="shared" si="4"/>
        <v>0</v>
      </c>
      <c r="T35" s="1606">
        <f t="shared" si="4"/>
        <v>0</v>
      </c>
      <c r="U35" s="1606">
        <v>3750</v>
      </c>
      <c r="V35" s="1606">
        <v>0</v>
      </c>
      <c r="W35" s="1606">
        <f t="shared" si="4"/>
        <v>0</v>
      </c>
      <c r="X35" s="1606">
        <v>0</v>
      </c>
      <c r="Y35" s="1606">
        <f t="shared" si="4"/>
        <v>6000</v>
      </c>
      <c r="Z35" s="1606">
        <f t="shared" si="4"/>
        <v>0</v>
      </c>
      <c r="AA35" s="1602" t="s">
        <v>2988</v>
      </c>
      <c r="AB35" s="1602" t="s">
        <v>280</v>
      </c>
    </row>
    <row r="36" spans="1:33" ht="241.5" customHeight="1">
      <c r="A36" s="1532"/>
      <c r="B36" s="1532"/>
      <c r="C36" s="1607"/>
      <c r="D36" s="1608"/>
      <c r="E36" s="1609" t="s">
        <v>2166</v>
      </c>
      <c r="F36" s="1534" t="s">
        <v>2167</v>
      </c>
      <c r="G36" s="1534" t="s">
        <v>2168</v>
      </c>
      <c r="H36" s="1535"/>
      <c r="I36" s="1535"/>
      <c r="J36" s="1535"/>
      <c r="K36" s="1535"/>
      <c r="L36" s="1610"/>
      <c r="M36" s="1611"/>
      <c r="N36" s="1612"/>
      <c r="O36" s="1613"/>
      <c r="P36" s="1613" t="s">
        <v>978</v>
      </c>
      <c r="Q36" s="1613"/>
      <c r="R36" s="1613"/>
      <c r="S36" s="1613"/>
      <c r="T36" s="1613"/>
      <c r="U36" s="1614">
        <f>M36</f>
        <v>0</v>
      </c>
      <c r="V36" s="1613"/>
      <c r="W36" s="1613"/>
      <c r="X36" s="1613"/>
      <c r="Y36" s="1613"/>
      <c r="Z36" s="1613"/>
      <c r="AA36" s="1615" t="s">
        <v>2169</v>
      </c>
      <c r="AB36" s="1616"/>
      <c r="AG36" s="132" t="s">
        <v>978</v>
      </c>
    </row>
    <row r="37" spans="1:33" ht="42" customHeight="1">
      <c r="A37" s="1532"/>
      <c r="B37" s="1532"/>
      <c r="C37" s="1607"/>
      <c r="D37" s="1532"/>
      <c r="E37" s="1617" t="s">
        <v>2170</v>
      </c>
      <c r="F37" s="1540"/>
      <c r="G37" s="1540"/>
      <c r="H37" s="1541"/>
      <c r="I37" s="1541"/>
      <c r="J37" s="1541" t="s">
        <v>239</v>
      </c>
      <c r="K37" s="1541"/>
      <c r="L37" s="1618" t="s">
        <v>2171</v>
      </c>
      <c r="M37" s="1619">
        <f xml:space="preserve"> 50*25*2</f>
        <v>2500</v>
      </c>
      <c r="N37" s="1619"/>
      <c r="O37" s="1620"/>
      <c r="P37" s="1620"/>
      <c r="Q37" s="1620"/>
      <c r="R37" s="1620"/>
      <c r="S37" s="1620"/>
      <c r="T37" s="1620"/>
      <c r="U37" s="1621">
        <f>M37</f>
        <v>2500</v>
      </c>
      <c r="V37" s="1620"/>
      <c r="W37" s="1620"/>
      <c r="X37" s="1620"/>
      <c r="Y37" s="1620"/>
      <c r="Z37" s="1620"/>
      <c r="AA37" s="1540"/>
      <c r="AB37" s="1622"/>
    </row>
    <row r="38" spans="1:33" ht="43.5" customHeight="1">
      <c r="A38" s="1532"/>
      <c r="B38" s="1532"/>
      <c r="C38" s="1607"/>
      <c r="D38" s="1532"/>
      <c r="E38" s="1617" t="s">
        <v>2172</v>
      </c>
      <c r="F38" s="1540"/>
      <c r="G38" s="1540"/>
      <c r="H38" s="1541"/>
      <c r="I38" s="1541"/>
      <c r="J38" s="1541" t="s">
        <v>239</v>
      </c>
      <c r="K38" s="1541"/>
      <c r="L38" s="1618" t="s">
        <v>2173</v>
      </c>
      <c r="M38" s="1623">
        <v>1250</v>
      </c>
      <c r="N38" s="1620"/>
      <c r="O38" s="1620"/>
      <c r="P38" s="1620"/>
      <c r="Q38" s="1620"/>
      <c r="R38" s="1620"/>
      <c r="S38" s="1620"/>
      <c r="T38" s="1620"/>
      <c r="U38" s="1621">
        <f>M38</f>
        <v>1250</v>
      </c>
      <c r="V38" s="1620"/>
      <c r="W38" s="1620"/>
      <c r="X38" s="1620"/>
      <c r="Y38" s="1620"/>
      <c r="Z38" s="1620"/>
      <c r="AA38" s="1540"/>
      <c r="AB38" s="1622"/>
    </row>
    <row r="39" spans="1:33" ht="57.75" customHeight="1">
      <c r="A39" s="1532"/>
      <c r="B39" s="1532"/>
      <c r="C39" s="1607"/>
      <c r="D39" s="1532"/>
      <c r="E39" s="1624" t="s">
        <v>2174</v>
      </c>
      <c r="F39" s="1546"/>
      <c r="G39" s="1546"/>
      <c r="H39" s="1547"/>
      <c r="I39" s="1547"/>
      <c r="J39" s="1547"/>
      <c r="K39" s="1547" t="s">
        <v>239</v>
      </c>
      <c r="L39" s="1618" t="s">
        <v>2175</v>
      </c>
      <c r="M39" s="1625">
        <v>6000</v>
      </c>
      <c r="N39" s="1626"/>
      <c r="O39" s="1626"/>
      <c r="P39" s="1626"/>
      <c r="Q39" s="1626"/>
      <c r="R39" s="1626"/>
      <c r="S39" s="1626"/>
      <c r="T39" s="1626"/>
      <c r="U39" s="1627"/>
      <c r="V39" s="1626"/>
      <c r="W39" s="1626"/>
      <c r="X39" s="1626"/>
      <c r="Y39" s="1628">
        <v>6000</v>
      </c>
      <c r="Z39" s="1626"/>
      <c r="AA39" s="1546"/>
      <c r="AB39" s="1629"/>
    </row>
    <row r="40" spans="1:33" ht="39" customHeight="1">
      <c r="A40" s="1532"/>
      <c r="B40" s="1532"/>
      <c r="C40" s="1607"/>
      <c r="D40" s="1532"/>
      <c r="E40" s="1630" t="s">
        <v>2176</v>
      </c>
      <c r="F40" s="1631"/>
      <c r="G40" s="1631"/>
      <c r="H40" s="1632"/>
      <c r="I40" s="1632" t="s">
        <v>239</v>
      </c>
      <c r="J40" s="1632"/>
      <c r="K40" s="1632"/>
      <c r="L40" s="1633" t="s">
        <v>2177</v>
      </c>
      <c r="M40" s="1634">
        <v>1500</v>
      </c>
      <c r="N40" s="1634" t="s">
        <v>978</v>
      </c>
      <c r="O40" s="1635"/>
      <c r="P40" s="1635"/>
      <c r="Q40" s="1635"/>
      <c r="R40" s="1636">
        <f>M40</f>
        <v>1500</v>
      </c>
      <c r="S40" s="1635"/>
      <c r="T40" s="1635"/>
      <c r="U40" s="1635"/>
      <c r="V40" s="1635"/>
      <c r="W40" s="1635"/>
      <c r="X40" s="1635"/>
      <c r="Y40" s="1635"/>
      <c r="Z40" s="1637"/>
      <c r="AA40" s="1631"/>
      <c r="AB40" s="1638"/>
    </row>
    <row r="41" spans="1:33">
      <c r="A41" s="1680">
        <v>3</v>
      </c>
      <c r="B41" s="1680">
        <v>10</v>
      </c>
      <c r="C41" s="2877">
        <v>31</v>
      </c>
      <c r="D41" s="1606">
        <v>5</v>
      </c>
      <c r="E41" s="1639" t="s">
        <v>2178</v>
      </c>
      <c r="F41" s="1639"/>
      <c r="G41" s="1639"/>
      <c r="H41" s="1639"/>
      <c r="I41" s="1639"/>
      <c r="J41" s="1639"/>
      <c r="K41" s="1639"/>
      <c r="L41" s="1639"/>
      <c r="M41" s="1640"/>
      <c r="N41" s="1641">
        <v>7200</v>
      </c>
      <c r="O41" s="1642"/>
      <c r="P41" s="1642"/>
      <c r="Q41" s="1643"/>
      <c r="R41" s="1643"/>
      <c r="S41" s="1643"/>
      <c r="T41" s="1643"/>
      <c r="U41" s="1643">
        <v>7200</v>
      </c>
      <c r="V41" s="1643"/>
      <c r="W41" s="1643"/>
      <c r="X41" s="1643"/>
      <c r="Y41" s="1643"/>
      <c r="Z41" s="1643"/>
      <c r="AA41" s="1644" t="s">
        <v>2988</v>
      </c>
      <c r="AB41" s="1645" t="s">
        <v>280</v>
      </c>
    </row>
    <row r="42" spans="1:33" ht="178.5" customHeight="1">
      <c r="A42" s="1532"/>
      <c r="B42" s="1532"/>
      <c r="C42" s="1607"/>
      <c r="D42" s="1532"/>
      <c r="E42" s="1646" t="s">
        <v>2179</v>
      </c>
      <c r="F42" s="1647" t="s">
        <v>2180</v>
      </c>
      <c r="G42" s="92" t="s">
        <v>2181</v>
      </c>
      <c r="H42" s="1648" t="s">
        <v>239</v>
      </c>
      <c r="I42" s="1648"/>
      <c r="J42" s="1648"/>
      <c r="K42" s="1648"/>
      <c r="L42" s="1649" t="s">
        <v>327</v>
      </c>
      <c r="M42" s="1648"/>
      <c r="N42" s="386"/>
      <c r="O42" s="386"/>
      <c r="P42" s="386"/>
      <c r="Q42" s="386"/>
      <c r="R42" s="386"/>
      <c r="S42" s="386"/>
      <c r="T42" s="386"/>
      <c r="U42" s="386"/>
      <c r="V42" s="386"/>
      <c r="W42" s="386"/>
      <c r="X42" s="386"/>
      <c r="Y42" s="386"/>
      <c r="Z42" s="386"/>
      <c r="AA42" s="1648"/>
      <c r="AB42" s="1522"/>
    </row>
    <row r="43" spans="1:33" ht="68.599999999999994" customHeight="1">
      <c r="A43" s="1532"/>
      <c r="B43" s="1532"/>
      <c r="C43" s="1607"/>
      <c r="D43" s="1532"/>
      <c r="E43" s="1650" t="s">
        <v>2182</v>
      </c>
      <c r="F43" s="1651" t="s">
        <v>2183</v>
      </c>
      <c r="G43" s="1651" t="s">
        <v>2184</v>
      </c>
      <c r="H43" s="369" t="s">
        <v>239</v>
      </c>
      <c r="I43" s="369"/>
      <c r="J43" s="369"/>
      <c r="K43" s="369"/>
      <c r="L43" s="1652" t="s">
        <v>2185</v>
      </c>
      <c r="M43" s="1653">
        <v>7200</v>
      </c>
      <c r="N43" s="92"/>
      <c r="O43" s="92"/>
      <c r="P43" s="92"/>
      <c r="Q43" s="92"/>
      <c r="R43" s="92"/>
      <c r="S43" s="92"/>
      <c r="T43" s="92"/>
      <c r="U43" s="92">
        <v>7200</v>
      </c>
      <c r="V43" s="92"/>
      <c r="W43" s="92"/>
      <c r="X43" s="92"/>
      <c r="Y43" s="92"/>
      <c r="Z43" s="92"/>
      <c r="AA43" s="386"/>
      <c r="AB43" s="1522"/>
    </row>
    <row r="44" spans="1:33" ht="74.599999999999994">
      <c r="A44" s="1532"/>
      <c r="B44" s="1532"/>
      <c r="C44" s="1607"/>
      <c r="D44" s="1532"/>
      <c r="E44" s="1650" t="s">
        <v>2186</v>
      </c>
      <c r="F44" s="1651" t="s">
        <v>2187</v>
      </c>
      <c r="G44" s="1653" t="s">
        <v>2188</v>
      </c>
      <c r="H44" s="369"/>
      <c r="I44" s="369"/>
      <c r="J44" s="369" t="s">
        <v>239</v>
      </c>
      <c r="K44" s="369"/>
      <c r="L44" s="1652" t="s">
        <v>2189</v>
      </c>
      <c r="M44" s="369"/>
      <c r="N44" s="92"/>
      <c r="O44" s="92"/>
      <c r="P44" s="92"/>
      <c r="Q44" s="92"/>
      <c r="R44" s="92"/>
      <c r="S44" s="92"/>
      <c r="T44" s="92"/>
      <c r="U44" s="1648"/>
      <c r="V44" s="386"/>
      <c r="W44" s="386"/>
      <c r="X44" s="386"/>
      <c r="Y44" s="386"/>
      <c r="Z44" s="386"/>
      <c r="AA44" s="386"/>
      <c r="AB44" s="1522"/>
    </row>
    <row r="45" spans="1:33" ht="62.15">
      <c r="A45" s="1532"/>
      <c r="B45" s="1532"/>
      <c r="C45" s="1607"/>
      <c r="D45" s="1532"/>
      <c r="E45" s="1654" t="s">
        <v>2190</v>
      </c>
      <c r="F45" s="1653" t="s">
        <v>2191</v>
      </c>
      <c r="G45" s="1653" t="s">
        <v>2188</v>
      </c>
      <c r="H45" s="1653"/>
      <c r="I45" s="1653"/>
      <c r="J45" s="1653"/>
      <c r="K45" s="1653" t="s">
        <v>768</v>
      </c>
      <c r="L45" s="1652" t="s">
        <v>2189</v>
      </c>
      <c r="M45" s="1653"/>
      <c r="N45" s="92"/>
      <c r="O45" s="92"/>
      <c r="P45" s="92"/>
      <c r="Q45" s="92"/>
      <c r="R45" s="92"/>
      <c r="S45" s="92"/>
      <c r="T45" s="92"/>
      <c r="U45" s="92"/>
      <c r="V45" s="92"/>
      <c r="W45" s="92"/>
      <c r="X45" s="1648">
        <f>M45</f>
        <v>0</v>
      </c>
      <c r="Y45" s="92"/>
      <c r="Z45" s="92"/>
      <c r="AA45" s="92"/>
      <c r="AB45" s="1522"/>
    </row>
    <row r="46" spans="1:33" ht="18" customHeight="1">
      <c r="A46" s="2876">
        <v>3</v>
      </c>
      <c r="B46" s="2876">
        <v>10</v>
      </c>
      <c r="C46" s="1677">
        <v>30</v>
      </c>
      <c r="D46" s="1606">
        <v>6</v>
      </c>
      <c r="E46" s="3665" t="s">
        <v>2192</v>
      </c>
      <c r="F46" s="3666"/>
      <c r="G46" s="3666"/>
      <c r="H46" s="3666"/>
      <c r="I46" s="3666"/>
      <c r="J46" s="3666"/>
      <c r="K46" s="3666"/>
      <c r="L46" s="3667"/>
      <c r="M46" s="1655">
        <v>68400</v>
      </c>
      <c r="N46" s="1655">
        <f>SUM(M47:M49)</f>
        <v>68400</v>
      </c>
      <c r="O46" s="1656"/>
      <c r="P46" s="1656"/>
      <c r="Q46" s="1656"/>
      <c r="R46" s="1656"/>
      <c r="S46" s="1656"/>
      <c r="T46" s="1656"/>
      <c r="U46" s="1656"/>
      <c r="V46" s="1656">
        <v>68400</v>
      </c>
      <c r="W46" s="1656"/>
      <c r="X46" s="1656"/>
      <c r="Y46" s="1656"/>
      <c r="Z46" s="1656"/>
      <c r="AA46" s="1531" t="s">
        <v>2988</v>
      </c>
      <c r="AB46" s="1531" t="s">
        <v>280</v>
      </c>
    </row>
    <row r="47" spans="1:33" ht="112.75" customHeight="1">
      <c r="A47" s="1532"/>
      <c r="B47" s="1532"/>
      <c r="C47" s="1607"/>
      <c r="D47" s="1532"/>
      <c r="E47" s="1657" t="s">
        <v>2193</v>
      </c>
      <c r="F47" s="1658" t="s">
        <v>2194</v>
      </c>
      <c r="G47" s="1659" t="s">
        <v>2195</v>
      </c>
      <c r="H47" s="1660"/>
      <c r="I47" s="1660"/>
      <c r="J47" s="1661" t="s">
        <v>239</v>
      </c>
      <c r="K47" s="1660"/>
      <c r="L47" s="1662" t="s">
        <v>2196</v>
      </c>
      <c r="M47" s="1663">
        <f>(90*25*2*3)+(90*70*3)+(600*14)</f>
        <v>40800</v>
      </c>
      <c r="N47" s="1659"/>
      <c r="O47" s="1659"/>
      <c r="P47" s="1659"/>
      <c r="Q47" s="1659"/>
      <c r="R47" s="1659"/>
      <c r="S47" s="1659"/>
      <c r="T47" s="1659"/>
      <c r="U47" s="1659"/>
      <c r="V47" s="1661">
        <f>M47</f>
        <v>40800</v>
      </c>
      <c r="W47" s="1659"/>
      <c r="X47" s="1659"/>
      <c r="Y47" s="1659"/>
      <c r="Z47" s="1659"/>
      <c r="AA47" s="1661"/>
      <c r="AB47" s="1616"/>
    </row>
    <row r="48" spans="1:33" ht="90.75" customHeight="1">
      <c r="A48" s="1532"/>
      <c r="B48" s="1532"/>
      <c r="C48" s="1607"/>
      <c r="D48" s="1532"/>
      <c r="E48" s="1664" t="s">
        <v>2197</v>
      </c>
      <c r="F48" s="1665" t="s">
        <v>2198</v>
      </c>
      <c r="G48" s="1666" t="s">
        <v>2199</v>
      </c>
      <c r="H48" s="1667"/>
      <c r="I48" s="1667"/>
      <c r="J48" s="1668" t="s">
        <v>239</v>
      </c>
      <c r="K48" s="1667"/>
      <c r="L48" s="1669" t="s">
        <v>2200</v>
      </c>
      <c r="M48" s="1670">
        <f>(120*50*3)+(600*16)</f>
        <v>27600</v>
      </c>
      <c r="N48" s="1666"/>
      <c r="O48" s="1666"/>
      <c r="P48" s="1666"/>
      <c r="Q48" s="1666"/>
      <c r="R48" s="1666"/>
      <c r="S48" s="1666"/>
      <c r="T48" s="1666"/>
      <c r="U48" s="1666"/>
      <c r="V48" s="1668">
        <f>M48</f>
        <v>27600</v>
      </c>
      <c r="W48" s="1666"/>
      <c r="X48" s="1666"/>
      <c r="Y48" s="1666"/>
      <c r="Z48" s="1666"/>
      <c r="AA48" s="1668" t="s">
        <v>2139</v>
      </c>
      <c r="AB48" s="1622"/>
    </row>
    <row r="49" spans="1:28" ht="87">
      <c r="A49" s="1532"/>
      <c r="B49" s="1532"/>
      <c r="C49" s="1607"/>
      <c r="D49" s="1532"/>
      <c r="E49" s="1671" t="s">
        <v>2201</v>
      </c>
      <c r="F49" s="1671" t="s">
        <v>2202</v>
      </c>
      <c r="G49" s="1671" t="s">
        <v>2203</v>
      </c>
      <c r="H49" s="1672"/>
      <c r="I49" s="1672"/>
      <c r="J49" s="1672"/>
      <c r="K49" s="1673" t="s">
        <v>239</v>
      </c>
      <c r="L49" s="1674" t="s">
        <v>2204</v>
      </c>
      <c r="M49" s="1671" t="s">
        <v>2205</v>
      </c>
      <c r="N49" s="1671"/>
      <c r="O49" s="1675"/>
      <c r="P49" s="1675"/>
      <c r="Q49" s="1675"/>
      <c r="R49" s="1675"/>
      <c r="S49" s="1675"/>
      <c r="T49" s="1675"/>
      <c r="U49" s="1675"/>
      <c r="V49" s="1675"/>
      <c r="W49" s="1675"/>
      <c r="X49" s="1675"/>
      <c r="Y49" s="1675"/>
      <c r="Z49" s="1675"/>
      <c r="AA49" s="1672" t="s">
        <v>2139</v>
      </c>
      <c r="AB49" s="1638"/>
    </row>
    <row r="50" spans="1:28">
      <c r="A50" s="1680">
        <v>3</v>
      </c>
      <c r="B50" s="1680">
        <v>10</v>
      </c>
      <c r="C50" s="2877">
        <v>30</v>
      </c>
      <c r="D50" s="1606">
        <v>7</v>
      </c>
      <c r="E50" s="1676" t="s">
        <v>2206</v>
      </c>
      <c r="F50" s="1676"/>
      <c r="G50" s="1676"/>
      <c r="H50" s="1676"/>
      <c r="I50" s="1676"/>
      <c r="J50" s="1676"/>
      <c r="K50" s="1676"/>
      <c r="L50" s="1676"/>
      <c r="M50" s="1676"/>
      <c r="N50" s="1677"/>
      <c r="O50" s="1678"/>
      <c r="P50" s="1678"/>
      <c r="Q50" s="1678"/>
      <c r="R50" s="1678"/>
      <c r="S50" s="1678"/>
      <c r="T50" s="1678"/>
      <c r="U50" s="1678"/>
      <c r="V50" s="1678"/>
      <c r="W50" s="1678"/>
      <c r="X50" s="1678"/>
      <c r="Y50" s="1678"/>
      <c r="Z50" s="1678"/>
      <c r="AA50" s="1679"/>
      <c r="AB50" s="1680"/>
    </row>
    <row r="51" spans="1:28" ht="99.45">
      <c r="A51" s="1601"/>
      <c r="B51" s="1601"/>
      <c r="C51" s="1519"/>
      <c r="D51" s="1601"/>
      <c r="E51" s="1646" t="s">
        <v>2207</v>
      </c>
      <c r="F51" s="1651" t="s">
        <v>2208</v>
      </c>
      <c r="G51" s="1653" t="s">
        <v>2209</v>
      </c>
      <c r="H51" s="369"/>
      <c r="I51" s="369" t="s">
        <v>239</v>
      </c>
      <c r="J51" s="1681"/>
      <c r="K51" s="1681"/>
      <c r="L51" s="1652" t="s">
        <v>2210</v>
      </c>
      <c r="M51" s="92"/>
      <c r="N51" s="1582"/>
      <c r="O51" s="1681"/>
      <c r="P51" s="1681"/>
      <c r="Q51" s="1681"/>
      <c r="R51" s="369"/>
      <c r="S51" s="1681"/>
      <c r="T51" s="369"/>
      <c r="U51" s="1681"/>
      <c r="V51" s="369"/>
      <c r="W51" s="369"/>
      <c r="X51" s="369"/>
      <c r="Y51" s="369"/>
      <c r="Z51" s="369"/>
      <c r="AA51" s="1582"/>
      <c r="AB51" s="1522"/>
    </row>
    <row r="52" spans="1:28" ht="21">
      <c r="A52" s="2878">
        <v>4</v>
      </c>
      <c r="B52" s="2878">
        <v>14</v>
      </c>
      <c r="C52" s="2878">
        <v>37</v>
      </c>
      <c r="D52" s="102">
        <v>8</v>
      </c>
      <c r="E52" s="1682" t="s">
        <v>2211</v>
      </c>
      <c r="F52" s="102"/>
      <c r="G52" s="1683"/>
      <c r="H52" s="1684"/>
      <c r="I52" s="1684"/>
      <c r="J52" s="1684"/>
      <c r="K52" s="1684"/>
      <c r="L52" s="102"/>
      <c r="M52" s="1685">
        <v>16800</v>
      </c>
      <c r="N52" s="1686">
        <v>16800</v>
      </c>
      <c r="O52" s="1686">
        <f t="shared" ref="O52:Z52" si="5">SUM(O56:O58)</f>
        <v>0</v>
      </c>
      <c r="P52" s="1686">
        <f t="shared" si="5"/>
        <v>0</v>
      </c>
      <c r="Q52" s="1686">
        <f t="shared" si="5"/>
        <v>0</v>
      </c>
      <c r="R52" s="1686">
        <f>SUM(R53:R54)</f>
        <v>3900</v>
      </c>
      <c r="S52" s="1686">
        <f>SUM(S53:S56)</f>
        <v>0</v>
      </c>
      <c r="T52" s="1686">
        <f>SUM(T53:T56)</f>
        <v>1500</v>
      </c>
      <c r="U52" s="1686">
        <f>SUM(U54:U56)</f>
        <v>2400</v>
      </c>
      <c r="V52" s="1686">
        <f t="shared" si="5"/>
        <v>0</v>
      </c>
      <c r="W52" s="1686">
        <f t="shared" si="5"/>
        <v>9000</v>
      </c>
      <c r="X52" s="1686">
        <f t="shared" si="5"/>
        <v>0</v>
      </c>
      <c r="Y52" s="1687">
        <f t="shared" si="5"/>
        <v>0</v>
      </c>
      <c r="Z52" s="1686">
        <f t="shared" si="5"/>
        <v>0</v>
      </c>
      <c r="AA52" s="1688" t="s">
        <v>2988</v>
      </c>
      <c r="AB52" s="102" t="s">
        <v>280</v>
      </c>
    </row>
    <row r="53" spans="1:28" ht="160.5" customHeight="1">
      <c r="D53" s="113"/>
      <c r="E53" s="1689" t="s">
        <v>2213</v>
      </c>
      <c r="F53" s="1689" t="s">
        <v>2214</v>
      </c>
      <c r="G53" s="1690" t="s">
        <v>2215</v>
      </c>
      <c r="H53" s="1691"/>
      <c r="I53" s="1691"/>
      <c r="J53" s="1691"/>
      <c r="K53" s="1691"/>
      <c r="L53" s="1689" t="s">
        <v>2216</v>
      </c>
      <c r="M53" s="1692">
        <v>3000</v>
      </c>
      <c r="N53" s="1693"/>
      <c r="O53" s="1693"/>
      <c r="P53" s="1693"/>
      <c r="Q53" s="1693" t="s">
        <v>978</v>
      </c>
      <c r="R53" s="1693">
        <v>1500</v>
      </c>
      <c r="S53" s="1693"/>
      <c r="T53" s="1693">
        <v>1500</v>
      </c>
      <c r="U53" s="1693"/>
      <c r="V53" s="1694"/>
      <c r="W53" s="1694"/>
      <c r="X53" s="1694"/>
      <c r="Y53" s="1694"/>
      <c r="Z53" s="1693"/>
      <c r="AA53" s="1695"/>
      <c r="AB53" s="113"/>
    </row>
    <row r="54" spans="1:28" ht="62.15">
      <c r="D54" s="113"/>
      <c r="E54" s="1689" t="s">
        <v>2217</v>
      </c>
      <c r="F54" s="1689" t="s">
        <v>2218</v>
      </c>
      <c r="G54" s="1690" t="s">
        <v>2219</v>
      </c>
      <c r="H54" s="1691"/>
      <c r="I54" s="1691"/>
      <c r="J54" s="1691"/>
      <c r="K54" s="1691"/>
      <c r="L54" s="1689" t="s">
        <v>2220</v>
      </c>
      <c r="M54" s="1692">
        <v>4800</v>
      </c>
      <c r="N54" s="1693"/>
      <c r="O54" s="1693"/>
      <c r="P54" s="1693"/>
      <c r="Q54" s="1693"/>
      <c r="R54" s="1693">
        <v>2400</v>
      </c>
      <c r="S54" s="1693"/>
      <c r="T54" s="1693"/>
      <c r="U54" s="1693">
        <v>2400</v>
      </c>
      <c r="V54" s="1694"/>
      <c r="W54" s="1694"/>
      <c r="X54" s="1694"/>
      <c r="Y54" s="1694"/>
      <c r="Z54" s="1693"/>
      <c r="AA54" s="1695"/>
      <c r="AB54" s="113"/>
    </row>
    <row r="55" spans="1:28">
      <c r="D55" s="1696"/>
      <c r="E55" s="3656" t="s">
        <v>2221</v>
      </c>
      <c r="F55" s="3656" t="s">
        <v>2222</v>
      </c>
      <c r="G55" s="3656" t="s">
        <v>2223</v>
      </c>
      <c r="H55" s="3653"/>
      <c r="I55" s="3653"/>
      <c r="J55" s="3653"/>
      <c r="K55" s="3653"/>
      <c r="L55" s="1697" t="s">
        <v>2210</v>
      </c>
      <c r="M55" s="1698"/>
      <c r="N55" s="1699"/>
      <c r="O55" s="3125"/>
      <c r="P55" s="3125"/>
      <c r="Q55" s="3125"/>
      <c r="R55" s="3125"/>
      <c r="S55" s="3125"/>
      <c r="T55" s="3125"/>
      <c r="U55" s="3125"/>
      <c r="V55" s="3647"/>
      <c r="W55" s="3647"/>
      <c r="X55" s="3647"/>
      <c r="Y55" s="3647"/>
      <c r="Z55" s="3125"/>
      <c r="AA55" s="3125" t="s">
        <v>1617</v>
      </c>
      <c r="AB55" s="3125"/>
    </row>
    <row r="56" spans="1:28" ht="28.75" customHeight="1">
      <c r="D56" s="1700"/>
      <c r="E56" s="3657"/>
      <c r="F56" s="3657"/>
      <c r="G56" s="3657"/>
      <c r="H56" s="3654"/>
      <c r="I56" s="3654"/>
      <c r="J56" s="3654"/>
      <c r="K56" s="3654"/>
      <c r="L56" s="1701"/>
      <c r="M56" s="1702"/>
      <c r="N56" s="1703"/>
      <c r="O56" s="3127"/>
      <c r="P56" s="3127"/>
      <c r="Q56" s="3127"/>
      <c r="R56" s="3127"/>
      <c r="S56" s="3127"/>
      <c r="T56" s="3127"/>
      <c r="U56" s="3127"/>
      <c r="V56" s="3648"/>
      <c r="W56" s="3648"/>
      <c r="X56" s="3648"/>
      <c r="Y56" s="3648"/>
      <c r="Z56" s="3127"/>
      <c r="AA56" s="3127"/>
      <c r="AB56" s="3127"/>
    </row>
    <row r="57" spans="1:28">
      <c r="D57" s="373"/>
      <c r="E57" s="3642" t="s">
        <v>2224</v>
      </c>
      <c r="F57" s="3642" t="s">
        <v>2225</v>
      </c>
      <c r="G57" s="3642" t="s">
        <v>2226</v>
      </c>
      <c r="H57" s="3649"/>
      <c r="I57" s="3649"/>
      <c r="J57" s="3649"/>
      <c r="K57" s="3649"/>
      <c r="L57" s="3642" t="s">
        <v>2227</v>
      </c>
      <c r="M57" s="3651" t="s">
        <v>2228</v>
      </c>
      <c r="N57" s="3645"/>
      <c r="O57" s="3645"/>
      <c r="P57" s="3645"/>
      <c r="Q57" s="3645"/>
      <c r="R57" s="3645"/>
      <c r="S57" s="3645"/>
      <c r="T57" s="3645"/>
      <c r="U57" s="3645"/>
      <c r="V57" s="3645"/>
      <c r="W57" s="3645">
        <v>9000</v>
      </c>
      <c r="X57" s="3645"/>
      <c r="Y57" s="3645"/>
      <c r="Z57" s="3645"/>
      <c r="AA57" s="3645"/>
      <c r="AB57" s="3645"/>
    </row>
    <row r="58" spans="1:28" ht="125.7" customHeight="1">
      <c r="D58" s="373"/>
      <c r="E58" s="3644"/>
      <c r="F58" s="3644"/>
      <c r="G58" s="3644"/>
      <c r="H58" s="3650"/>
      <c r="I58" s="3650"/>
      <c r="J58" s="3650"/>
      <c r="K58" s="3650"/>
      <c r="L58" s="3644"/>
      <c r="M58" s="3652"/>
      <c r="N58" s="3646"/>
      <c r="O58" s="3646"/>
      <c r="P58" s="3646"/>
      <c r="Q58" s="3646"/>
      <c r="R58" s="3646"/>
      <c r="S58" s="3646"/>
      <c r="T58" s="3646"/>
      <c r="U58" s="3646"/>
      <c r="V58" s="3646"/>
      <c r="W58" s="3646"/>
      <c r="X58" s="3646"/>
      <c r="Y58" s="3646"/>
      <c r="Z58" s="3646"/>
      <c r="AA58" s="3646"/>
      <c r="AB58" s="3646"/>
    </row>
    <row r="59" spans="1:28" ht="27.45" customHeight="1">
      <c r="A59" s="2878">
        <v>4</v>
      </c>
      <c r="B59" s="2878">
        <v>14</v>
      </c>
      <c r="C59" s="2878">
        <v>37</v>
      </c>
      <c r="D59" s="102">
        <v>9</v>
      </c>
      <c r="E59" s="1682" t="s">
        <v>2229</v>
      </c>
      <c r="F59" s="102"/>
      <c r="G59" s="1683"/>
      <c r="H59" s="1684"/>
      <c r="I59" s="1684"/>
      <c r="J59" s="1684"/>
      <c r="K59" s="1684"/>
      <c r="L59" s="102"/>
      <c r="M59" s="1686">
        <v>18000</v>
      </c>
      <c r="N59" s="1686">
        <v>18000</v>
      </c>
      <c r="O59" s="1686">
        <f t="shared" ref="O59:Z59" si="6">SUM(O60:O60)</f>
        <v>0</v>
      </c>
      <c r="P59" s="1686">
        <f t="shared" si="6"/>
        <v>0</v>
      </c>
      <c r="Q59" s="1686">
        <f t="shared" si="6"/>
        <v>0</v>
      </c>
      <c r="R59" s="1686">
        <f t="shared" si="6"/>
        <v>0</v>
      </c>
      <c r="S59" s="1687">
        <f t="shared" si="6"/>
        <v>18000</v>
      </c>
      <c r="T59" s="1687">
        <f t="shared" si="6"/>
        <v>0</v>
      </c>
      <c r="U59" s="1687">
        <f t="shared" si="6"/>
        <v>0</v>
      </c>
      <c r="V59" s="1687">
        <f t="shared" si="6"/>
        <v>0</v>
      </c>
      <c r="W59" s="1687">
        <f t="shared" si="6"/>
        <v>0</v>
      </c>
      <c r="X59" s="1687">
        <f t="shared" si="6"/>
        <v>0</v>
      </c>
      <c r="Y59" s="1687">
        <f t="shared" si="6"/>
        <v>0</v>
      </c>
      <c r="Z59" s="1686">
        <f t="shared" si="6"/>
        <v>0</v>
      </c>
      <c r="AA59" s="1688" t="s">
        <v>2988</v>
      </c>
      <c r="AB59" s="102" t="s">
        <v>280</v>
      </c>
    </row>
    <row r="60" spans="1:28" ht="136.75">
      <c r="D60" s="1583"/>
      <c r="E60" s="1704" t="s">
        <v>2231</v>
      </c>
      <c r="F60" s="1704" t="s">
        <v>2232</v>
      </c>
      <c r="G60" s="1704" t="s">
        <v>2233</v>
      </c>
      <c r="H60" s="1705"/>
      <c r="I60" s="1705" t="s">
        <v>768</v>
      </c>
      <c r="J60" s="1705"/>
      <c r="K60" s="1705"/>
      <c r="L60" s="1689" t="s">
        <v>2234</v>
      </c>
      <c r="M60" s="369">
        <v>18000</v>
      </c>
      <c r="N60" s="386"/>
      <c r="O60" s="369"/>
      <c r="P60" s="369"/>
      <c r="Q60" s="369"/>
      <c r="R60" s="369"/>
      <c r="S60" s="369">
        <v>18000</v>
      </c>
      <c r="T60" s="369"/>
      <c r="U60" s="369"/>
      <c r="V60" s="369"/>
      <c r="W60" s="369"/>
      <c r="X60" s="369"/>
      <c r="Y60" s="369"/>
      <c r="Z60" s="369"/>
      <c r="AA60" s="97" t="s">
        <v>2139</v>
      </c>
      <c r="AB60" s="373" t="s">
        <v>2096</v>
      </c>
    </row>
    <row r="61" spans="1:28" ht="21">
      <c r="A61" s="2878">
        <v>4</v>
      </c>
      <c r="B61" s="2878">
        <v>14</v>
      </c>
      <c r="C61" s="2878">
        <v>37</v>
      </c>
      <c r="D61" s="102">
        <v>10</v>
      </c>
      <c r="E61" s="1682" t="s">
        <v>2235</v>
      </c>
      <c r="F61" s="102"/>
      <c r="G61" s="1683"/>
      <c r="H61" s="1684"/>
      <c r="I61" s="1684"/>
      <c r="J61" s="1684"/>
      <c r="K61" s="1684"/>
      <c r="L61" s="102"/>
      <c r="M61" s="1686">
        <v>25000</v>
      </c>
      <c r="N61" s="1686">
        <f>SUM(M62)</f>
        <v>25000</v>
      </c>
      <c r="O61" s="1686">
        <f>SUM(O62)</f>
        <v>0</v>
      </c>
      <c r="P61" s="1686">
        <f>SUM(P62)</f>
        <v>0</v>
      </c>
      <c r="Q61" s="1686">
        <f t="shared" ref="Q61:Z61" si="7">SUM(Q62)</f>
        <v>0</v>
      </c>
      <c r="R61" s="1687">
        <f t="shared" si="7"/>
        <v>0</v>
      </c>
      <c r="S61" s="1687">
        <f t="shared" si="7"/>
        <v>0</v>
      </c>
      <c r="T61" s="1687">
        <f t="shared" si="7"/>
        <v>0</v>
      </c>
      <c r="U61" s="1687">
        <f t="shared" si="7"/>
        <v>0</v>
      </c>
      <c r="V61" s="1686">
        <f t="shared" si="7"/>
        <v>25000</v>
      </c>
      <c r="W61" s="1687">
        <f t="shared" si="7"/>
        <v>0</v>
      </c>
      <c r="X61" s="1687">
        <f t="shared" si="7"/>
        <v>0</v>
      </c>
      <c r="Y61" s="1687">
        <f t="shared" si="7"/>
        <v>0</v>
      </c>
      <c r="Z61" s="1686">
        <f t="shared" si="7"/>
        <v>0</v>
      </c>
      <c r="AA61" s="1688" t="s">
        <v>2230</v>
      </c>
      <c r="AB61" s="102" t="s">
        <v>280</v>
      </c>
    </row>
    <row r="62" spans="1:28" ht="62.15">
      <c r="D62" s="373"/>
      <c r="E62" s="1689"/>
      <c r="F62" s="99" t="s">
        <v>2236</v>
      </c>
      <c r="G62" s="99" t="s">
        <v>2237</v>
      </c>
      <c r="H62" s="1706"/>
      <c r="I62" s="97" t="s">
        <v>239</v>
      </c>
      <c r="J62" s="1706"/>
      <c r="K62" s="1706"/>
      <c r="L62" s="1689" t="s">
        <v>2238</v>
      </c>
      <c r="M62" s="369">
        <v>25000</v>
      </c>
      <c r="N62" s="386"/>
      <c r="O62" s="92"/>
      <c r="P62" s="92"/>
      <c r="Q62" s="92"/>
      <c r="R62" s="92"/>
      <c r="S62" s="92"/>
      <c r="T62" s="92"/>
      <c r="U62" s="92"/>
      <c r="V62" s="386">
        <v>25000</v>
      </c>
      <c r="W62" s="92"/>
      <c r="X62" s="92"/>
      <c r="Y62" s="92"/>
      <c r="Z62" s="92"/>
      <c r="AA62" s="97" t="s">
        <v>2139</v>
      </c>
      <c r="AB62" s="373" t="s">
        <v>2096</v>
      </c>
    </row>
    <row r="63" spans="1:28">
      <c r="A63" s="2878">
        <v>4</v>
      </c>
      <c r="B63" s="2878">
        <v>14</v>
      </c>
      <c r="C63" s="2878">
        <v>37</v>
      </c>
      <c r="D63" s="102">
        <v>11</v>
      </c>
      <c r="E63" s="1682" t="s">
        <v>2239</v>
      </c>
      <c r="F63" s="102"/>
      <c r="G63" s="1683"/>
      <c r="H63" s="1684"/>
      <c r="I63" s="1684"/>
      <c r="J63" s="1684"/>
      <c r="K63" s="1684"/>
      <c r="L63" s="102"/>
      <c r="M63" s="1686">
        <f>SUM(M64)</f>
        <v>80000</v>
      </c>
      <c r="N63" s="1686">
        <f>SUM(M64)</f>
        <v>80000</v>
      </c>
      <c r="O63" s="1686">
        <f>SUM(O64)</f>
        <v>0</v>
      </c>
      <c r="P63" s="1686">
        <f>SUM(P64)</f>
        <v>0</v>
      </c>
      <c r="Q63" s="1686">
        <f t="shared" ref="Q63:Z63" si="8">SUM(Q64)</f>
        <v>0</v>
      </c>
      <c r="R63" s="1686">
        <f t="shared" si="8"/>
        <v>0</v>
      </c>
      <c r="S63" s="1686">
        <f t="shared" si="8"/>
        <v>0</v>
      </c>
      <c r="T63" s="1686">
        <f t="shared" si="8"/>
        <v>0</v>
      </c>
      <c r="U63" s="1686">
        <f t="shared" si="8"/>
        <v>0</v>
      </c>
      <c r="V63" s="1686">
        <f t="shared" si="8"/>
        <v>0</v>
      </c>
      <c r="W63" s="1686"/>
      <c r="X63" s="1686">
        <f t="shared" si="8"/>
        <v>80000</v>
      </c>
      <c r="Y63" s="1686">
        <f t="shared" si="8"/>
        <v>0</v>
      </c>
      <c r="Z63" s="1686">
        <f t="shared" si="8"/>
        <v>0</v>
      </c>
      <c r="AA63" s="1688" t="s">
        <v>2230</v>
      </c>
      <c r="AB63" s="102" t="s">
        <v>280</v>
      </c>
    </row>
    <row r="64" spans="1:28" ht="111.9">
      <c r="D64" s="373"/>
      <c r="E64" s="1689"/>
      <c r="F64" s="99" t="s">
        <v>2236</v>
      </c>
      <c r="G64" s="99" t="s">
        <v>2240</v>
      </c>
      <c r="H64" s="1706"/>
      <c r="I64" s="97" t="s">
        <v>239</v>
      </c>
      <c r="J64" s="1706"/>
      <c r="K64" s="1706"/>
      <c r="L64" s="1689" t="s">
        <v>2241</v>
      </c>
      <c r="M64" s="369">
        <v>80000</v>
      </c>
      <c r="N64" s="386"/>
      <c r="O64" s="92"/>
      <c r="P64" s="92"/>
      <c r="Q64" s="92"/>
      <c r="R64" s="92"/>
      <c r="S64" s="92"/>
      <c r="T64" s="92"/>
      <c r="U64" s="92"/>
      <c r="V64" s="92"/>
      <c r="W64" s="386"/>
      <c r="X64" s="386">
        <v>80000</v>
      </c>
      <c r="Y64" s="92"/>
      <c r="Z64" s="92"/>
      <c r="AA64" s="97" t="s">
        <v>2139</v>
      </c>
      <c r="AB64" s="373" t="s">
        <v>2096</v>
      </c>
    </row>
    <row r="65" spans="1:28" ht="21">
      <c r="A65" s="2878">
        <v>4</v>
      </c>
      <c r="B65" s="2878">
        <v>14</v>
      </c>
      <c r="C65" s="2878">
        <v>37</v>
      </c>
      <c r="D65" s="102">
        <v>12</v>
      </c>
      <c r="E65" s="1682" t="s">
        <v>2242</v>
      </c>
      <c r="F65" s="102"/>
      <c r="G65" s="1683"/>
      <c r="H65" s="1684"/>
      <c r="I65" s="1684"/>
      <c r="J65" s="1684"/>
      <c r="K65" s="1684"/>
      <c r="L65" s="102"/>
      <c r="M65" s="1686">
        <v>144430</v>
      </c>
      <c r="N65" s="1686">
        <f>M66+M67+M68+M69+M70</f>
        <v>144430</v>
      </c>
      <c r="O65" s="1687">
        <f t="shared" ref="O65:Z65" si="9">SUM(O66:O70)</f>
        <v>0</v>
      </c>
      <c r="P65" s="1687">
        <f>SUM(P66:P70)</f>
        <v>0</v>
      </c>
      <c r="Q65" s="1687">
        <f t="shared" si="9"/>
        <v>0</v>
      </c>
      <c r="R65" s="1687">
        <f t="shared" si="9"/>
        <v>0</v>
      </c>
      <c r="S65" s="1687">
        <f t="shared" si="9"/>
        <v>0</v>
      </c>
      <c r="T65" s="1687">
        <f t="shared" si="9"/>
        <v>0</v>
      </c>
      <c r="U65" s="1687">
        <f t="shared" si="9"/>
        <v>0</v>
      </c>
      <c r="V65" s="1687">
        <f t="shared" si="9"/>
        <v>0</v>
      </c>
      <c r="W65" s="1687">
        <f t="shared" si="9"/>
        <v>0</v>
      </c>
      <c r="X65" s="1687">
        <f t="shared" si="9"/>
        <v>0</v>
      </c>
      <c r="Y65" s="1687">
        <f t="shared" si="9"/>
        <v>0</v>
      </c>
      <c r="Z65" s="1686">
        <f t="shared" si="9"/>
        <v>144430</v>
      </c>
      <c r="AA65" s="1688" t="s">
        <v>2230</v>
      </c>
      <c r="AB65" s="102" t="s">
        <v>280</v>
      </c>
    </row>
    <row r="66" spans="1:28" ht="24.9">
      <c r="D66" s="3633"/>
      <c r="E66" s="3639"/>
      <c r="F66" s="3642" t="s">
        <v>2243</v>
      </c>
      <c r="G66" s="3642" t="s">
        <v>2244</v>
      </c>
      <c r="H66" s="3633"/>
      <c r="I66" s="3633"/>
      <c r="J66" s="3633"/>
      <c r="K66" s="3636" t="s">
        <v>239</v>
      </c>
      <c r="L66" s="1689" t="s">
        <v>2245</v>
      </c>
      <c r="M66" s="1707">
        <v>30750</v>
      </c>
      <c r="N66" s="92"/>
      <c r="O66" s="92"/>
      <c r="P66" s="92"/>
      <c r="Q66" s="92"/>
      <c r="R66" s="92"/>
      <c r="S66" s="92"/>
      <c r="T66" s="92"/>
      <c r="U66" s="92"/>
      <c r="V66" s="92"/>
      <c r="W66" s="92"/>
      <c r="X66" s="92"/>
      <c r="Y66" s="92"/>
      <c r="Z66" s="1707">
        <v>30750</v>
      </c>
      <c r="AA66" s="1708" t="s">
        <v>2246</v>
      </c>
      <c r="AB66" s="373" t="s">
        <v>2096</v>
      </c>
    </row>
    <row r="67" spans="1:28" ht="62.15">
      <c r="D67" s="3634"/>
      <c r="E67" s="3640"/>
      <c r="F67" s="3643"/>
      <c r="G67" s="3643"/>
      <c r="H67" s="3634"/>
      <c r="I67" s="3634"/>
      <c r="J67" s="3634"/>
      <c r="K67" s="3637"/>
      <c r="L67" s="1689" t="s">
        <v>2247</v>
      </c>
      <c r="M67" s="92">
        <v>48000</v>
      </c>
      <c r="N67" s="92"/>
      <c r="O67" s="386"/>
      <c r="P67" s="386"/>
      <c r="Q67" s="386"/>
      <c r="R67" s="386"/>
      <c r="S67" s="386"/>
      <c r="T67" s="386"/>
      <c r="U67" s="386"/>
      <c r="V67" s="386"/>
      <c r="W67" s="386"/>
      <c r="X67" s="386"/>
      <c r="Y67" s="386"/>
      <c r="Z67" s="92">
        <v>48000</v>
      </c>
      <c r="AA67" s="1690"/>
      <c r="AB67" s="1706"/>
    </row>
    <row r="68" spans="1:28" ht="46.5" customHeight="1">
      <c r="D68" s="3634"/>
      <c r="E68" s="3640"/>
      <c r="F68" s="3643"/>
      <c r="G68" s="3643"/>
      <c r="H68" s="3634"/>
      <c r="I68" s="3634"/>
      <c r="J68" s="3634"/>
      <c r="K68" s="3637"/>
      <c r="L68" s="1689" t="s">
        <v>2248</v>
      </c>
      <c r="M68" s="92">
        <v>35000</v>
      </c>
      <c r="N68" s="92"/>
      <c r="O68" s="386"/>
      <c r="P68" s="386"/>
      <c r="Q68" s="386"/>
      <c r="R68" s="386"/>
      <c r="S68" s="386"/>
      <c r="T68" s="386"/>
      <c r="U68" s="386"/>
      <c r="V68" s="386"/>
      <c r="W68" s="386"/>
      <c r="X68" s="386"/>
      <c r="Y68" s="386"/>
      <c r="Z68" s="92">
        <v>35000</v>
      </c>
      <c r="AA68" s="1690"/>
      <c r="AB68" s="1706"/>
    </row>
    <row r="69" spans="1:28" ht="74.25" customHeight="1">
      <c r="D69" s="3634"/>
      <c r="E69" s="3640"/>
      <c r="F69" s="3643"/>
      <c r="G69" s="3643"/>
      <c r="H69" s="3634"/>
      <c r="I69" s="3634"/>
      <c r="J69" s="3634"/>
      <c r="K69" s="3637"/>
      <c r="L69" s="1689" t="s">
        <v>2249</v>
      </c>
      <c r="M69" s="92">
        <v>10680</v>
      </c>
      <c r="N69" s="92"/>
      <c r="O69" s="386"/>
      <c r="P69" s="386"/>
      <c r="Q69" s="386"/>
      <c r="R69" s="386"/>
      <c r="S69" s="386"/>
      <c r="T69" s="386"/>
      <c r="U69" s="386"/>
      <c r="V69" s="386"/>
      <c r="W69" s="386"/>
      <c r="X69" s="386"/>
      <c r="Y69" s="386"/>
      <c r="Z69" s="92">
        <v>10680</v>
      </c>
      <c r="AA69" s="1690"/>
      <c r="AB69" s="1706"/>
    </row>
    <row r="70" spans="1:28" ht="45" customHeight="1">
      <c r="D70" s="3635"/>
      <c r="E70" s="3641"/>
      <c r="F70" s="3644"/>
      <c r="G70" s="3644"/>
      <c r="H70" s="3635"/>
      <c r="I70" s="3635"/>
      <c r="J70" s="3635"/>
      <c r="K70" s="3638"/>
      <c r="L70" s="1689" t="s">
        <v>2250</v>
      </c>
      <c r="M70" s="92">
        <v>20000</v>
      </c>
      <c r="N70" s="92"/>
      <c r="O70" s="386"/>
      <c r="P70" s="386"/>
      <c r="Q70" s="386"/>
      <c r="R70" s="386"/>
      <c r="S70" s="386"/>
      <c r="T70" s="386"/>
      <c r="U70" s="386"/>
      <c r="V70" s="386"/>
      <c r="W70" s="386"/>
      <c r="X70" s="386"/>
      <c r="Y70" s="386"/>
      <c r="Z70" s="92">
        <v>20000</v>
      </c>
      <c r="AA70" s="1690"/>
      <c r="AB70" s="1706"/>
    </row>
    <row r="71" spans="1:28">
      <c r="N71" s="1709"/>
      <c r="O71" s="1710">
        <f t="shared" ref="O71:Z71" si="10">O13+O26+O28+O35+O41+O46+O50+O52+O59+O61+O63+O65</f>
        <v>1900</v>
      </c>
      <c r="P71" s="1710">
        <f t="shared" si="10"/>
        <v>4400</v>
      </c>
      <c r="Q71" s="1710">
        <f t="shared" si="10"/>
        <v>4400</v>
      </c>
      <c r="R71" s="1710">
        <f t="shared" si="10"/>
        <v>31500</v>
      </c>
      <c r="S71" s="1710">
        <f t="shared" si="10"/>
        <v>42400</v>
      </c>
      <c r="T71" s="1710">
        <f t="shared" si="10"/>
        <v>3400</v>
      </c>
      <c r="U71" s="1710">
        <f t="shared" si="10"/>
        <v>35900</v>
      </c>
      <c r="V71" s="1710">
        <f t="shared" si="10"/>
        <v>115300</v>
      </c>
      <c r="W71" s="1710">
        <f t="shared" si="10"/>
        <v>53600</v>
      </c>
      <c r="X71" s="1710">
        <f t="shared" si="10"/>
        <v>104400</v>
      </c>
      <c r="Y71" s="1710">
        <f t="shared" si="10"/>
        <v>272400</v>
      </c>
      <c r="Z71" s="1710">
        <f t="shared" si="10"/>
        <v>171205</v>
      </c>
    </row>
    <row r="84" spans="20:20">
      <c r="T84" s="132" t="s">
        <v>978</v>
      </c>
    </row>
  </sheetData>
  <mergeCells count="75">
    <mergeCell ref="D1:AB1"/>
    <mergeCell ref="G8:R8"/>
    <mergeCell ref="G9:S9"/>
    <mergeCell ref="D10:D12"/>
    <mergeCell ref="E10:E12"/>
    <mergeCell ref="F10:F12"/>
    <mergeCell ref="G10:G12"/>
    <mergeCell ref="H10:K11"/>
    <mergeCell ref="L10:M11"/>
    <mergeCell ref="N10:N12"/>
    <mergeCell ref="O10:Z10"/>
    <mergeCell ref="AA10:AA12"/>
    <mergeCell ref="AB10:AB12"/>
    <mergeCell ref="O11:Q11"/>
    <mergeCell ref="R11:T11"/>
    <mergeCell ref="U11:W11"/>
    <mergeCell ref="X11:Z11"/>
    <mergeCell ref="E55:E56"/>
    <mergeCell ref="F55:F56"/>
    <mergeCell ref="G55:G56"/>
    <mergeCell ref="H55:H56"/>
    <mergeCell ref="I55:I56"/>
    <mergeCell ref="E13:L13"/>
    <mergeCell ref="E26:L26"/>
    <mergeCell ref="E28:L28"/>
    <mergeCell ref="E35:L35"/>
    <mergeCell ref="E46:L46"/>
    <mergeCell ref="Y55:Y56"/>
    <mergeCell ref="Z55:Z56"/>
    <mergeCell ref="J57:J58"/>
    <mergeCell ref="S55:S56"/>
    <mergeCell ref="T55:T56"/>
    <mergeCell ref="U55:U56"/>
    <mergeCell ref="V55:V56"/>
    <mergeCell ref="J55:J56"/>
    <mergeCell ref="K55:K56"/>
    <mergeCell ref="O55:O56"/>
    <mergeCell ref="P55:P56"/>
    <mergeCell ref="Q55:Q56"/>
    <mergeCell ref="R55:R56"/>
    <mergeCell ref="P57:P58"/>
    <mergeCell ref="E57:E58"/>
    <mergeCell ref="F57:F58"/>
    <mergeCell ref="G57:G58"/>
    <mergeCell ref="H57:H58"/>
    <mergeCell ref="I57:I58"/>
    <mergeCell ref="AA55:AA56"/>
    <mergeCell ref="AB55:AB56"/>
    <mergeCell ref="W55:W56"/>
    <mergeCell ref="X55:X56"/>
    <mergeCell ref="K57:K58"/>
    <mergeCell ref="L57:L58"/>
    <mergeCell ref="M57:M58"/>
    <mergeCell ref="N57:N58"/>
    <mergeCell ref="O57:O58"/>
    <mergeCell ref="AB57:AB58"/>
    <mergeCell ref="Q57:Q58"/>
    <mergeCell ref="R57:R58"/>
    <mergeCell ref="S57:S58"/>
    <mergeCell ref="T57:T58"/>
    <mergeCell ref="U57:U58"/>
    <mergeCell ref="V57:V58"/>
    <mergeCell ref="W57:W58"/>
    <mergeCell ref="X57:X58"/>
    <mergeCell ref="Y57:Y58"/>
    <mergeCell ref="Z57:Z58"/>
    <mergeCell ref="AA57:AA58"/>
    <mergeCell ref="J66:J70"/>
    <mergeCell ref="K66:K70"/>
    <mergeCell ref="D66:D70"/>
    <mergeCell ref="E66:E70"/>
    <mergeCell ref="F66:F70"/>
    <mergeCell ref="G66:G70"/>
    <mergeCell ref="H66:H70"/>
    <mergeCell ref="I66:I7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2A9FB-F0C3-4568-9A91-CBB43DFD4427}">
  <sheetPr>
    <tabColor rgb="FF92D050"/>
  </sheetPr>
  <dimension ref="A1:AE96"/>
  <sheetViews>
    <sheetView zoomScale="60" zoomScaleNormal="60" workbookViewId="0">
      <selection activeCell="A80" sqref="A80:XFD80"/>
    </sheetView>
  </sheetViews>
  <sheetFormatPr defaultRowHeight="20.6"/>
  <cols>
    <col min="1" max="1" width="3" style="814" customWidth="1"/>
    <col min="2" max="2" width="5.28515625" style="814" customWidth="1"/>
    <col min="3" max="3" width="5.7109375" style="814" customWidth="1"/>
    <col min="4" max="4" width="5.35546875" style="814" customWidth="1"/>
    <col min="5" max="5" width="20.5703125" style="814" customWidth="1"/>
    <col min="6" max="6" width="17.7109375" style="814" customWidth="1"/>
    <col min="7" max="7" width="14.7109375" style="814" customWidth="1"/>
    <col min="8" max="8" width="3.85546875" style="814" customWidth="1"/>
    <col min="9" max="9" width="4.2109375" style="814" customWidth="1"/>
    <col min="10" max="10" width="4.0703125" style="814" customWidth="1"/>
    <col min="11" max="11" width="4" style="814" customWidth="1"/>
    <col min="12" max="12" width="16.35546875" style="814" customWidth="1"/>
    <col min="13" max="17" width="14.2109375" style="814" customWidth="1"/>
    <col min="18" max="18" width="14.5703125" style="814" customWidth="1"/>
    <col min="19" max="21" width="14.2109375" style="814" customWidth="1"/>
    <col min="22" max="22" width="11.35546875" style="814" customWidth="1"/>
    <col min="23" max="23" width="12.35546875" style="814" customWidth="1"/>
    <col min="24" max="24" width="9.85546875" style="814" customWidth="1"/>
    <col min="25" max="25" width="16" style="814" customWidth="1"/>
    <col min="26" max="26" width="11.0703125" style="814" customWidth="1"/>
    <col min="27" max="27" width="14.7109375" style="814" customWidth="1"/>
    <col min="28" max="28" width="10" style="814" customWidth="1"/>
    <col min="29" max="29" width="7.0703125" style="814" customWidth="1"/>
    <col min="30" max="31" width="12.140625" style="814" bestFit="1" customWidth="1"/>
    <col min="32" max="255" width="9.140625" style="814"/>
    <col min="256" max="256" width="4.35546875" style="814" customWidth="1"/>
    <col min="257" max="257" width="20.5703125" style="814" customWidth="1"/>
    <col min="258" max="258" width="12.35546875" style="814" customWidth="1"/>
    <col min="259" max="259" width="12.5703125" style="814" customWidth="1"/>
    <col min="260" max="260" width="3.85546875" style="814" customWidth="1"/>
    <col min="261" max="261" width="4.2109375" style="814" customWidth="1"/>
    <col min="262" max="262" width="4.0703125" style="814" customWidth="1"/>
    <col min="263" max="263" width="4" style="814" customWidth="1"/>
    <col min="264" max="264" width="16.35546875" style="814" customWidth="1"/>
    <col min="265" max="265" width="5.5703125" style="814" customWidth="1"/>
    <col min="266" max="266" width="8.7109375" style="814" customWidth="1"/>
    <col min="267" max="267" width="5.35546875" style="814" customWidth="1"/>
    <col min="268" max="268" width="4.35546875" style="814" customWidth="1"/>
    <col min="269" max="269" width="4.2109375" style="814" customWidth="1"/>
    <col min="270" max="270" width="3.0703125" style="814" customWidth="1"/>
    <col min="271" max="271" width="4.5703125" style="814" customWidth="1"/>
    <col min="272" max="272" width="4.35546875" style="814" customWidth="1"/>
    <col min="273" max="273" width="4" style="814" customWidth="1"/>
    <col min="274" max="274" width="3" style="814" customWidth="1"/>
    <col min="275" max="275" width="3.85546875" style="814" customWidth="1"/>
    <col min="276" max="276" width="4.35546875" style="814" customWidth="1"/>
    <col min="277" max="277" width="3.35546875" style="814" customWidth="1"/>
    <col min="278" max="278" width="4.85546875" style="814" customWidth="1"/>
    <col min="279" max="279" width="10.5703125" style="814" customWidth="1"/>
    <col min="280" max="280" width="7.0703125" style="814" customWidth="1"/>
    <col min="281" max="281" width="8.0703125" style="814" customWidth="1"/>
    <col min="282" max="282" width="7.5703125" style="814" customWidth="1"/>
    <col min="283" max="284" width="7.7109375" style="814" customWidth="1"/>
    <col min="285" max="285" width="7.0703125" style="814" customWidth="1"/>
    <col min="286" max="511" width="9.140625" style="814"/>
    <col min="512" max="512" width="4.35546875" style="814" customWidth="1"/>
    <col min="513" max="513" width="20.5703125" style="814" customWidth="1"/>
    <col min="514" max="514" width="12.35546875" style="814" customWidth="1"/>
    <col min="515" max="515" width="12.5703125" style="814" customWidth="1"/>
    <col min="516" max="516" width="3.85546875" style="814" customWidth="1"/>
    <col min="517" max="517" width="4.2109375" style="814" customWidth="1"/>
    <col min="518" max="518" width="4.0703125" style="814" customWidth="1"/>
    <col min="519" max="519" width="4" style="814" customWidth="1"/>
    <col min="520" max="520" width="16.35546875" style="814" customWidth="1"/>
    <col min="521" max="521" width="5.5703125" style="814" customWidth="1"/>
    <col min="522" max="522" width="8.7109375" style="814" customWidth="1"/>
    <col min="523" max="523" width="5.35546875" style="814" customWidth="1"/>
    <col min="524" max="524" width="4.35546875" style="814" customWidth="1"/>
    <col min="525" max="525" width="4.2109375" style="814" customWidth="1"/>
    <col min="526" max="526" width="3.0703125" style="814" customWidth="1"/>
    <col min="527" max="527" width="4.5703125" style="814" customWidth="1"/>
    <col min="528" max="528" width="4.35546875" style="814" customWidth="1"/>
    <col min="529" max="529" width="4" style="814" customWidth="1"/>
    <col min="530" max="530" width="3" style="814" customWidth="1"/>
    <col min="531" max="531" width="3.85546875" style="814" customWidth="1"/>
    <col min="532" max="532" width="4.35546875" style="814" customWidth="1"/>
    <col min="533" max="533" width="3.35546875" style="814" customWidth="1"/>
    <col min="534" max="534" width="4.85546875" style="814" customWidth="1"/>
    <col min="535" max="535" width="10.5703125" style="814" customWidth="1"/>
    <col min="536" max="536" width="7.0703125" style="814" customWidth="1"/>
    <col min="537" max="537" width="8.0703125" style="814" customWidth="1"/>
    <col min="538" max="538" width="7.5703125" style="814" customWidth="1"/>
    <col min="539" max="540" width="7.7109375" style="814" customWidth="1"/>
    <col min="541" max="541" width="7.0703125" style="814" customWidth="1"/>
    <col min="542" max="767" width="9.140625" style="814"/>
    <col min="768" max="768" width="4.35546875" style="814" customWidth="1"/>
    <col min="769" max="769" width="20.5703125" style="814" customWidth="1"/>
    <col min="770" max="770" width="12.35546875" style="814" customWidth="1"/>
    <col min="771" max="771" width="12.5703125" style="814" customWidth="1"/>
    <col min="772" max="772" width="3.85546875" style="814" customWidth="1"/>
    <col min="773" max="773" width="4.2109375" style="814" customWidth="1"/>
    <col min="774" max="774" width="4.0703125" style="814" customWidth="1"/>
    <col min="775" max="775" width="4" style="814" customWidth="1"/>
    <col min="776" max="776" width="16.35546875" style="814" customWidth="1"/>
    <col min="777" max="777" width="5.5703125" style="814" customWidth="1"/>
    <col min="778" max="778" width="8.7109375" style="814" customWidth="1"/>
    <col min="779" max="779" width="5.35546875" style="814" customWidth="1"/>
    <col min="780" max="780" width="4.35546875" style="814" customWidth="1"/>
    <col min="781" max="781" width="4.2109375" style="814" customWidth="1"/>
    <col min="782" max="782" width="3.0703125" style="814" customWidth="1"/>
    <col min="783" max="783" width="4.5703125" style="814" customWidth="1"/>
    <col min="784" max="784" width="4.35546875" style="814" customWidth="1"/>
    <col min="785" max="785" width="4" style="814" customWidth="1"/>
    <col min="786" max="786" width="3" style="814" customWidth="1"/>
    <col min="787" max="787" width="3.85546875" style="814" customWidth="1"/>
    <col min="788" max="788" width="4.35546875" style="814" customWidth="1"/>
    <col min="789" max="789" width="3.35546875" style="814" customWidth="1"/>
    <col min="790" max="790" width="4.85546875" style="814" customWidth="1"/>
    <col min="791" max="791" width="10.5703125" style="814" customWidth="1"/>
    <col min="792" max="792" width="7.0703125" style="814" customWidth="1"/>
    <col min="793" max="793" width="8.0703125" style="814" customWidth="1"/>
    <col min="794" max="794" width="7.5703125" style="814" customWidth="1"/>
    <col min="795" max="796" width="7.7109375" style="814" customWidth="1"/>
    <col min="797" max="797" width="7.0703125" style="814" customWidth="1"/>
    <col min="798" max="1023" width="9.140625" style="814"/>
    <col min="1024" max="1024" width="4.35546875" style="814" customWidth="1"/>
    <col min="1025" max="1025" width="20.5703125" style="814" customWidth="1"/>
    <col min="1026" max="1026" width="12.35546875" style="814" customWidth="1"/>
    <col min="1027" max="1027" width="12.5703125" style="814" customWidth="1"/>
    <col min="1028" max="1028" width="3.85546875" style="814" customWidth="1"/>
    <col min="1029" max="1029" width="4.2109375" style="814" customWidth="1"/>
    <col min="1030" max="1030" width="4.0703125" style="814" customWidth="1"/>
    <col min="1031" max="1031" width="4" style="814" customWidth="1"/>
    <col min="1032" max="1032" width="16.35546875" style="814" customWidth="1"/>
    <col min="1033" max="1033" width="5.5703125" style="814" customWidth="1"/>
    <col min="1034" max="1034" width="8.7109375" style="814" customWidth="1"/>
    <col min="1035" max="1035" width="5.35546875" style="814" customWidth="1"/>
    <col min="1036" max="1036" width="4.35546875" style="814" customWidth="1"/>
    <col min="1037" max="1037" width="4.2109375" style="814" customWidth="1"/>
    <col min="1038" max="1038" width="3.0703125" style="814" customWidth="1"/>
    <col min="1039" max="1039" width="4.5703125" style="814" customWidth="1"/>
    <col min="1040" max="1040" width="4.35546875" style="814" customWidth="1"/>
    <col min="1041" max="1041" width="4" style="814" customWidth="1"/>
    <col min="1042" max="1042" width="3" style="814" customWidth="1"/>
    <col min="1043" max="1043" width="3.85546875" style="814" customWidth="1"/>
    <col min="1044" max="1044" width="4.35546875" style="814" customWidth="1"/>
    <col min="1045" max="1045" width="3.35546875" style="814" customWidth="1"/>
    <col min="1046" max="1046" width="4.85546875" style="814" customWidth="1"/>
    <col min="1047" max="1047" width="10.5703125" style="814" customWidth="1"/>
    <col min="1048" max="1048" width="7.0703125" style="814" customWidth="1"/>
    <col min="1049" max="1049" width="8.0703125" style="814" customWidth="1"/>
    <col min="1050" max="1050" width="7.5703125" style="814" customWidth="1"/>
    <col min="1051" max="1052" width="7.7109375" style="814" customWidth="1"/>
    <col min="1053" max="1053" width="7.0703125" style="814" customWidth="1"/>
    <col min="1054" max="1279" width="9.140625" style="814"/>
    <col min="1280" max="1280" width="4.35546875" style="814" customWidth="1"/>
    <col min="1281" max="1281" width="20.5703125" style="814" customWidth="1"/>
    <col min="1282" max="1282" width="12.35546875" style="814" customWidth="1"/>
    <col min="1283" max="1283" width="12.5703125" style="814" customWidth="1"/>
    <col min="1284" max="1284" width="3.85546875" style="814" customWidth="1"/>
    <col min="1285" max="1285" width="4.2109375" style="814" customWidth="1"/>
    <col min="1286" max="1286" width="4.0703125" style="814" customWidth="1"/>
    <col min="1287" max="1287" width="4" style="814" customWidth="1"/>
    <col min="1288" max="1288" width="16.35546875" style="814" customWidth="1"/>
    <col min="1289" max="1289" width="5.5703125" style="814" customWidth="1"/>
    <col min="1290" max="1290" width="8.7109375" style="814" customWidth="1"/>
    <col min="1291" max="1291" width="5.35546875" style="814" customWidth="1"/>
    <col min="1292" max="1292" width="4.35546875" style="814" customWidth="1"/>
    <col min="1293" max="1293" width="4.2109375" style="814" customWidth="1"/>
    <col min="1294" max="1294" width="3.0703125" style="814" customWidth="1"/>
    <col min="1295" max="1295" width="4.5703125" style="814" customWidth="1"/>
    <col min="1296" max="1296" width="4.35546875" style="814" customWidth="1"/>
    <col min="1297" max="1297" width="4" style="814" customWidth="1"/>
    <col min="1298" max="1298" width="3" style="814" customWidth="1"/>
    <col min="1299" max="1299" width="3.85546875" style="814" customWidth="1"/>
    <col min="1300" max="1300" width="4.35546875" style="814" customWidth="1"/>
    <col min="1301" max="1301" width="3.35546875" style="814" customWidth="1"/>
    <col min="1302" max="1302" width="4.85546875" style="814" customWidth="1"/>
    <col min="1303" max="1303" width="10.5703125" style="814" customWidth="1"/>
    <col min="1304" max="1304" width="7.0703125" style="814" customWidth="1"/>
    <col min="1305" max="1305" width="8.0703125" style="814" customWidth="1"/>
    <col min="1306" max="1306" width="7.5703125" style="814" customWidth="1"/>
    <col min="1307" max="1308" width="7.7109375" style="814" customWidth="1"/>
    <col min="1309" max="1309" width="7.0703125" style="814" customWidth="1"/>
    <col min="1310" max="1535" width="9.140625" style="814"/>
    <col min="1536" max="1536" width="4.35546875" style="814" customWidth="1"/>
    <col min="1537" max="1537" width="20.5703125" style="814" customWidth="1"/>
    <col min="1538" max="1538" width="12.35546875" style="814" customWidth="1"/>
    <col min="1539" max="1539" width="12.5703125" style="814" customWidth="1"/>
    <col min="1540" max="1540" width="3.85546875" style="814" customWidth="1"/>
    <col min="1541" max="1541" width="4.2109375" style="814" customWidth="1"/>
    <col min="1542" max="1542" width="4.0703125" style="814" customWidth="1"/>
    <col min="1543" max="1543" width="4" style="814" customWidth="1"/>
    <col min="1544" max="1544" width="16.35546875" style="814" customWidth="1"/>
    <col min="1545" max="1545" width="5.5703125" style="814" customWidth="1"/>
    <col min="1546" max="1546" width="8.7109375" style="814" customWidth="1"/>
    <col min="1547" max="1547" width="5.35546875" style="814" customWidth="1"/>
    <col min="1548" max="1548" width="4.35546875" style="814" customWidth="1"/>
    <col min="1549" max="1549" width="4.2109375" style="814" customWidth="1"/>
    <col min="1550" max="1550" width="3.0703125" style="814" customWidth="1"/>
    <col min="1551" max="1551" width="4.5703125" style="814" customWidth="1"/>
    <col min="1552" max="1552" width="4.35546875" style="814" customWidth="1"/>
    <col min="1553" max="1553" width="4" style="814" customWidth="1"/>
    <col min="1554" max="1554" width="3" style="814" customWidth="1"/>
    <col min="1555" max="1555" width="3.85546875" style="814" customWidth="1"/>
    <col min="1556" max="1556" width="4.35546875" style="814" customWidth="1"/>
    <col min="1557" max="1557" width="3.35546875" style="814" customWidth="1"/>
    <col min="1558" max="1558" width="4.85546875" style="814" customWidth="1"/>
    <col min="1559" max="1559" width="10.5703125" style="814" customWidth="1"/>
    <col min="1560" max="1560" width="7.0703125" style="814" customWidth="1"/>
    <col min="1561" max="1561" width="8.0703125" style="814" customWidth="1"/>
    <col min="1562" max="1562" width="7.5703125" style="814" customWidth="1"/>
    <col min="1563" max="1564" width="7.7109375" style="814" customWidth="1"/>
    <col min="1565" max="1565" width="7.0703125" style="814" customWidth="1"/>
    <col min="1566" max="1791" width="9.140625" style="814"/>
    <col min="1792" max="1792" width="4.35546875" style="814" customWidth="1"/>
    <col min="1793" max="1793" width="20.5703125" style="814" customWidth="1"/>
    <col min="1794" max="1794" width="12.35546875" style="814" customWidth="1"/>
    <col min="1795" max="1795" width="12.5703125" style="814" customWidth="1"/>
    <col min="1796" max="1796" width="3.85546875" style="814" customWidth="1"/>
    <col min="1797" max="1797" width="4.2109375" style="814" customWidth="1"/>
    <col min="1798" max="1798" width="4.0703125" style="814" customWidth="1"/>
    <col min="1799" max="1799" width="4" style="814" customWidth="1"/>
    <col min="1800" max="1800" width="16.35546875" style="814" customWidth="1"/>
    <col min="1801" max="1801" width="5.5703125" style="814" customWidth="1"/>
    <col min="1802" max="1802" width="8.7109375" style="814" customWidth="1"/>
    <col min="1803" max="1803" width="5.35546875" style="814" customWidth="1"/>
    <col min="1804" max="1804" width="4.35546875" style="814" customWidth="1"/>
    <col min="1805" max="1805" width="4.2109375" style="814" customWidth="1"/>
    <col min="1806" max="1806" width="3.0703125" style="814" customWidth="1"/>
    <col min="1807" max="1807" width="4.5703125" style="814" customWidth="1"/>
    <col min="1808" max="1808" width="4.35546875" style="814" customWidth="1"/>
    <col min="1809" max="1809" width="4" style="814" customWidth="1"/>
    <col min="1810" max="1810" width="3" style="814" customWidth="1"/>
    <col min="1811" max="1811" width="3.85546875" style="814" customWidth="1"/>
    <col min="1812" max="1812" width="4.35546875" style="814" customWidth="1"/>
    <col min="1813" max="1813" width="3.35546875" style="814" customWidth="1"/>
    <col min="1814" max="1814" width="4.85546875" style="814" customWidth="1"/>
    <col min="1815" max="1815" width="10.5703125" style="814" customWidth="1"/>
    <col min="1816" max="1816" width="7.0703125" style="814" customWidth="1"/>
    <col min="1817" max="1817" width="8.0703125" style="814" customWidth="1"/>
    <col min="1818" max="1818" width="7.5703125" style="814" customWidth="1"/>
    <col min="1819" max="1820" width="7.7109375" style="814" customWidth="1"/>
    <col min="1821" max="1821" width="7.0703125" style="814" customWidth="1"/>
    <col min="1822" max="2047" width="9.140625" style="814"/>
    <col min="2048" max="2048" width="4.35546875" style="814" customWidth="1"/>
    <col min="2049" max="2049" width="20.5703125" style="814" customWidth="1"/>
    <col min="2050" max="2050" width="12.35546875" style="814" customWidth="1"/>
    <col min="2051" max="2051" width="12.5703125" style="814" customWidth="1"/>
    <col min="2052" max="2052" width="3.85546875" style="814" customWidth="1"/>
    <col min="2053" max="2053" width="4.2109375" style="814" customWidth="1"/>
    <col min="2054" max="2054" width="4.0703125" style="814" customWidth="1"/>
    <col min="2055" max="2055" width="4" style="814" customWidth="1"/>
    <col min="2056" max="2056" width="16.35546875" style="814" customWidth="1"/>
    <col min="2057" max="2057" width="5.5703125" style="814" customWidth="1"/>
    <col min="2058" max="2058" width="8.7109375" style="814" customWidth="1"/>
    <col min="2059" max="2059" width="5.35546875" style="814" customWidth="1"/>
    <col min="2060" max="2060" width="4.35546875" style="814" customWidth="1"/>
    <col min="2061" max="2061" width="4.2109375" style="814" customWidth="1"/>
    <col min="2062" max="2062" width="3.0703125" style="814" customWidth="1"/>
    <col min="2063" max="2063" width="4.5703125" style="814" customWidth="1"/>
    <col min="2064" max="2064" width="4.35546875" style="814" customWidth="1"/>
    <col min="2065" max="2065" width="4" style="814" customWidth="1"/>
    <col min="2066" max="2066" width="3" style="814" customWidth="1"/>
    <col min="2067" max="2067" width="3.85546875" style="814" customWidth="1"/>
    <col min="2068" max="2068" width="4.35546875" style="814" customWidth="1"/>
    <col min="2069" max="2069" width="3.35546875" style="814" customWidth="1"/>
    <col min="2070" max="2070" width="4.85546875" style="814" customWidth="1"/>
    <col min="2071" max="2071" width="10.5703125" style="814" customWidth="1"/>
    <col min="2072" max="2072" width="7.0703125" style="814" customWidth="1"/>
    <col min="2073" max="2073" width="8.0703125" style="814" customWidth="1"/>
    <col min="2074" max="2074" width="7.5703125" style="814" customWidth="1"/>
    <col min="2075" max="2076" width="7.7109375" style="814" customWidth="1"/>
    <col min="2077" max="2077" width="7.0703125" style="814" customWidth="1"/>
    <col min="2078" max="2303" width="9.140625" style="814"/>
    <col min="2304" max="2304" width="4.35546875" style="814" customWidth="1"/>
    <col min="2305" max="2305" width="20.5703125" style="814" customWidth="1"/>
    <col min="2306" max="2306" width="12.35546875" style="814" customWidth="1"/>
    <col min="2307" max="2307" width="12.5703125" style="814" customWidth="1"/>
    <col min="2308" max="2308" width="3.85546875" style="814" customWidth="1"/>
    <col min="2309" max="2309" width="4.2109375" style="814" customWidth="1"/>
    <col min="2310" max="2310" width="4.0703125" style="814" customWidth="1"/>
    <col min="2311" max="2311" width="4" style="814" customWidth="1"/>
    <col min="2312" max="2312" width="16.35546875" style="814" customWidth="1"/>
    <col min="2313" max="2313" width="5.5703125" style="814" customWidth="1"/>
    <col min="2314" max="2314" width="8.7109375" style="814" customWidth="1"/>
    <col min="2315" max="2315" width="5.35546875" style="814" customWidth="1"/>
    <col min="2316" max="2316" width="4.35546875" style="814" customWidth="1"/>
    <col min="2317" max="2317" width="4.2109375" style="814" customWidth="1"/>
    <col min="2318" max="2318" width="3.0703125" style="814" customWidth="1"/>
    <col min="2319" max="2319" width="4.5703125" style="814" customWidth="1"/>
    <col min="2320" max="2320" width="4.35546875" style="814" customWidth="1"/>
    <col min="2321" max="2321" width="4" style="814" customWidth="1"/>
    <col min="2322" max="2322" width="3" style="814" customWidth="1"/>
    <col min="2323" max="2323" width="3.85546875" style="814" customWidth="1"/>
    <col min="2324" max="2324" width="4.35546875" style="814" customWidth="1"/>
    <col min="2325" max="2325" width="3.35546875" style="814" customWidth="1"/>
    <col min="2326" max="2326" width="4.85546875" style="814" customWidth="1"/>
    <col min="2327" max="2327" width="10.5703125" style="814" customWidth="1"/>
    <col min="2328" max="2328" width="7.0703125" style="814" customWidth="1"/>
    <col min="2329" max="2329" width="8.0703125" style="814" customWidth="1"/>
    <col min="2330" max="2330" width="7.5703125" style="814" customWidth="1"/>
    <col min="2331" max="2332" width="7.7109375" style="814" customWidth="1"/>
    <col min="2333" max="2333" width="7.0703125" style="814" customWidth="1"/>
    <col min="2334" max="2559" width="9.140625" style="814"/>
    <col min="2560" max="2560" width="4.35546875" style="814" customWidth="1"/>
    <col min="2561" max="2561" width="20.5703125" style="814" customWidth="1"/>
    <col min="2562" max="2562" width="12.35546875" style="814" customWidth="1"/>
    <col min="2563" max="2563" width="12.5703125" style="814" customWidth="1"/>
    <col min="2564" max="2564" width="3.85546875" style="814" customWidth="1"/>
    <col min="2565" max="2565" width="4.2109375" style="814" customWidth="1"/>
    <col min="2566" max="2566" width="4.0703125" style="814" customWidth="1"/>
    <col min="2567" max="2567" width="4" style="814" customWidth="1"/>
    <col min="2568" max="2568" width="16.35546875" style="814" customWidth="1"/>
    <col min="2569" max="2569" width="5.5703125" style="814" customWidth="1"/>
    <col min="2570" max="2570" width="8.7109375" style="814" customWidth="1"/>
    <col min="2571" max="2571" width="5.35546875" style="814" customWidth="1"/>
    <col min="2572" max="2572" width="4.35546875" style="814" customWidth="1"/>
    <col min="2573" max="2573" width="4.2109375" style="814" customWidth="1"/>
    <col min="2574" max="2574" width="3.0703125" style="814" customWidth="1"/>
    <col min="2575" max="2575" width="4.5703125" style="814" customWidth="1"/>
    <col min="2576" max="2576" width="4.35546875" style="814" customWidth="1"/>
    <col min="2577" max="2577" width="4" style="814" customWidth="1"/>
    <col min="2578" max="2578" width="3" style="814" customWidth="1"/>
    <col min="2579" max="2579" width="3.85546875" style="814" customWidth="1"/>
    <col min="2580" max="2580" width="4.35546875" style="814" customWidth="1"/>
    <col min="2581" max="2581" width="3.35546875" style="814" customWidth="1"/>
    <col min="2582" max="2582" width="4.85546875" style="814" customWidth="1"/>
    <col min="2583" max="2583" width="10.5703125" style="814" customWidth="1"/>
    <col min="2584" max="2584" width="7.0703125" style="814" customWidth="1"/>
    <col min="2585" max="2585" width="8.0703125" style="814" customWidth="1"/>
    <col min="2586" max="2586" width="7.5703125" style="814" customWidth="1"/>
    <col min="2587" max="2588" width="7.7109375" style="814" customWidth="1"/>
    <col min="2589" max="2589" width="7.0703125" style="814" customWidth="1"/>
    <col min="2590" max="2815" width="9.140625" style="814"/>
    <col min="2816" max="2816" width="4.35546875" style="814" customWidth="1"/>
    <col min="2817" max="2817" width="20.5703125" style="814" customWidth="1"/>
    <col min="2818" max="2818" width="12.35546875" style="814" customWidth="1"/>
    <col min="2819" max="2819" width="12.5703125" style="814" customWidth="1"/>
    <col min="2820" max="2820" width="3.85546875" style="814" customWidth="1"/>
    <col min="2821" max="2821" width="4.2109375" style="814" customWidth="1"/>
    <col min="2822" max="2822" width="4.0703125" style="814" customWidth="1"/>
    <col min="2823" max="2823" width="4" style="814" customWidth="1"/>
    <col min="2824" max="2824" width="16.35546875" style="814" customWidth="1"/>
    <col min="2825" max="2825" width="5.5703125" style="814" customWidth="1"/>
    <col min="2826" max="2826" width="8.7109375" style="814" customWidth="1"/>
    <col min="2827" max="2827" width="5.35546875" style="814" customWidth="1"/>
    <col min="2828" max="2828" width="4.35546875" style="814" customWidth="1"/>
    <col min="2829" max="2829" width="4.2109375" style="814" customWidth="1"/>
    <col min="2830" max="2830" width="3.0703125" style="814" customWidth="1"/>
    <col min="2831" max="2831" width="4.5703125" style="814" customWidth="1"/>
    <col min="2832" max="2832" width="4.35546875" style="814" customWidth="1"/>
    <col min="2833" max="2833" width="4" style="814" customWidth="1"/>
    <col min="2834" max="2834" width="3" style="814" customWidth="1"/>
    <col min="2835" max="2835" width="3.85546875" style="814" customWidth="1"/>
    <col min="2836" max="2836" width="4.35546875" style="814" customWidth="1"/>
    <col min="2837" max="2837" width="3.35546875" style="814" customWidth="1"/>
    <col min="2838" max="2838" width="4.85546875" style="814" customWidth="1"/>
    <col min="2839" max="2839" width="10.5703125" style="814" customWidth="1"/>
    <col min="2840" max="2840" width="7.0703125" style="814" customWidth="1"/>
    <col min="2841" max="2841" width="8.0703125" style="814" customWidth="1"/>
    <col min="2842" max="2842" width="7.5703125" style="814" customWidth="1"/>
    <col min="2843" max="2844" width="7.7109375" style="814" customWidth="1"/>
    <col min="2845" max="2845" width="7.0703125" style="814" customWidth="1"/>
    <col min="2846" max="3071" width="9.140625" style="814"/>
    <col min="3072" max="3072" width="4.35546875" style="814" customWidth="1"/>
    <col min="3073" max="3073" width="20.5703125" style="814" customWidth="1"/>
    <col min="3074" max="3074" width="12.35546875" style="814" customWidth="1"/>
    <col min="3075" max="3075" width="12.5703125" style="814" customWidth="1"/>
    <col min="3076" max="3076" width="3.85546875" style="814" customWidth="1"/>
    <col min="3077" max="3077" width="4.2109375" style="814" customWidth="1"/>
    <col min="3078" max="3078" width="4.0703125" style="814" customWidth="1"/>
    <col min="3079" max="3079" width="4" style="814" customWidth="1"/>
    <col min="3080" max="3080" width="16.35546875" style="814" customWidth="1"/>
    <col min="3081" max="3081" width="5.5703125" style="814" customWidth="1"/>
    <col min="3082" max="3082" width="8.7109375" style="814" customWidth="1"/>
    <col min="3083" max="3083" width="5.35546875" style="814" customWidth="1"/>
    <col min="3084" max="3084" width="4.35546875" style="814" customWidth="1"/>
    <col min="3085" max="3085" width="4.2109375" style="814" customWidth="1"/>
    <col min="3086" max="3086" width="3.0703125" style="814" customWidth="1"/>
    <col min="3087" max="3087" width="4.5703125" style="814" customWidth="1"/>
    <col min="3088" max="3088" width="4.35546875" style="814" customWidth="1"/>
    <col min="3089" max="3089" width="4" style="814" customWidth="1"/>
    <col min="3090" max="3090" width="3" style="814" customWidth="1"/>
    <col min="3091" max="3091" width="3.85546875" style="814" customWidth="1"/>
    <col min="3092" max="3092" width="4.35546875" style="814" customWidth="1"/>
    <col min="3093" max="3093" width="3.35546875" style="814" customWidth="1"/>
    <col min="3094" max="3094" width="4.85546875" style="814" customWidth="1"/>
    <col min="3095" max="3095" width="10.5703125" style="814" customWidth="1"/>
    <col min="3096" max="3096" width="7.0703125" style="814" customWidth="1"/>
    <col min="3097" max="3097" width="8.0703125" style="814" customWidth="1"/>
    <col min="3098" max="3098" width="7.5703125" style="814" customWidth="1"/>
    <col min="3099" max="3100" width="7.7109375" style="814" customWidth="1"/>
    <col min="3101" max="3101" width="7.0703125" style="814" customWidth="1"/>
    <col min="3102" max="3327" width="9.140625" style="814"/>
    <col min="3328" max="3328" width="4.35546875" style="814" customWidth="1"/>
    <col min="3329" max="3329" width="20.5703125" style="814" customWidth="1"/>
    <col min="3330" max="3330" width="12.35546875" style="814" customWidth="1"/>
    <col min="3331" max="3331" width="12.5703125" style="814" customWidth="1"/>
    <col min="3332" max="3332" width="3.85546875" style="814" customWidth="1"/>
    <col min="3333" max="3333" width="4.2109375" style="814" customWidth="1"/>
    <col min="3334" max="3334" width="4.0703125" style="814" customWidth="1"/>
    <col min="3335" max="3335" width="4" style="814" customWidth="1"/>
    <col min="3336" max="3336" width="16.35546875" style="814" customWidth="1"/>
    <col min="3337" max="3337" width="5.5703125" style="814" customWidth="1"/>
    <col min="3338" max="3338" width="8.7109375" style="814" customWidth="1"/>
    <col min="3339" max="3339" width="5.35546875" style="814" customWidth="1"/>
    <col min="3340" max="3340" width="4.35546875" style="814" customWidth="1"/>
    <col min="3341" max="3341" width="4.2109375" style="814" customWidth="1"/>
    <col min="3342" max="3342" width="3.0703125" style="814" customWidth="1"/>
    <col min="3343" max="3343" width="4.5703125" style="814" customWidth="1"/>
    <col min="3344" max="3344" width="4.35546875" style="814" customWidth="1"/>
    <col min="3345" max="3345" width="4" style="814" customWidth="1"/>
    <col min="3346" max="3346" width="3" style="814" customWidth="1"/>
    <col min="3347" max="3347" width="3.85546875" style="814" customWidth="1"/>
    <col min="3348" max="3348" width="4.35546875" style="814" customWidth="1"/>
    <col min="3349" max="3349" width="3.35546875" style="814" customWidth="1"/>
    <col min="3350" max="3350" width="4.85546875" style="814" customWidth="1"/>
    <col min="3351" max="3351" width="10.5703125" style="814" customWidth="1"/>
    <col min="3352" max="3352" width="7.0703125" style="814" customWidth="1"/>
    <col min="3353" max="3353" width="8.0703125" style="814" customWidth="1"/>
    <col min="3354" max="3354" width="7.5703125" style="814" customWidth="1"/>
    <col min="3355" max="3356" width="7.7109375" style="814" customWidth="1"/>
    <col min="3357" max="3357" width="7.0703125" style="814" customWidth="1"/>
    <col min="3358" max="3583" width="9.140625" style="814"/>
    <col min="3584" max="3584" width="4.35546875" style="814" customWidth="1"/>
    <col min="3585" max="3585" width="20.5703125" style="814" customWidth="1"/>
    <col min="3586" max="3586" width="12.35546875" style="814" customWidth="1"/>
    <col min="3587" max="3587" width="12.5703125" style="814" customWidth="1"/>
    <col min="3588" max="3588" width="3.85546875" style="814" customWidth="1"/>
    <col min="3589" max="3589" width="4.2109375" style="814" customWidth="1"/>
    <col min="3590" max="3590" width="4.0703125" style="814" customWidth="1"/>
    <col min="3591" max="3591" width="4" style="814" customWidth="1"/>
    <col min="3592" max="3592" width="16.35546875" style="814" customWidth="1"/>
    <col min="3593" max="3593" width="5.5703125" style="814" customWidth="1"/>
    <col min="3594" max="3594" width="8.7109375" style="814" customWidth="1"/>
    <col min="3595" max="3595" width="5.35546875" style="814" customWidth="1"/>
    <col min="3596" max="3596" width="4.35546875" style="814" customWidth="1"/>
    <col min="3597" max="3597" width="4.2109375" style="814" customWidth="1"/>
    <col min="3598" max="3598" width="3.0703125" style="814" customWidth="1"/>
    <col min="3599" max="3599" width="4.5703125" style="814" customWidth="1"/>
    <col min="3600" max="3600" width="4.35546875" style="814" customWidth="1"/>
    <col min="3601" max="3601" width="4" style="814" customWidth="1"/>
    <col min="3602" max="3602" width="3" style="814" customWidth="1"/>
    <col min="3603" max="3603" width="3.85546875" style="814" customWidth="1"/>
    <col min="3604" max="3604" width="4.35546875" style="814" customWidth="1"/>
    <col min="3605" max="3605" width="3.35546875" style="814" customWidth="1"/>
    <col min="3606" max="3606" width="4.85546875" style="814" customWidth="1"/>
    <col min="3607" max="3607" width="10.5703125" style="814" customWidth="1"/>
    <col min="3608" max="3608" width="7.0703125" style="814" customWidth="1"/>
    <col min="3609" max="3609" width="8.0703125" style="814" customWidth="1"/>
    <col min="3610" max="3610" width="7.5703125" style="814" customWidth="1"/>
    <col min="3611" max="3612" width="7.7109375" style="814" customWidth="1"/>
    <col min="3613" max="3613" width="7.0703125" style="814" customWidth="1"/>
    <col min="3614" max="3839" width="9.140625" style="814"/>
    <col min="3840" max="3840" width="4.35546875" style="814" customWidth="1"/>
    <col min="3841" max="3841" width="20.5703125" style="814" customWidth="1"/>
    <col min="3842" max="3842" width="12.35546875" style="814" customWidth="1"/>
    <col min="3843" max="3843" width="12.5703125" style="814" customWidth="1"/>
    <col min="3844" max="3844" width="3.85546875" style="814" customWidth="1"/>
    <col min="3845" max="3845" width="4.2109375" style="814" customWidth="1"/>
    <col min="3846" max="3846" width="4.0703125" style="814" customWidth="1"/>
    <col min="3847" max="3847" width="4" style="814" customWidth="1"/>
    <col min="3848" max="3848" width="16.35546875" style="814" customWidth="1"/>
    <col min="3849" max="3849" width="5.5703125" style="814" customWidth="1"/>
    <col min="3850" max="3850" width="8.7109375" style="814" customWidth="1"/>
    <col min="3851" max="3851" width="5.35546875" style="814" customWidth="1"/>
    <col min="3852" max="3852" width="4.35546875" style="814" customWidth="1"/>
    <col min="3853" max="3853" width="4.2109375" style="814" customWidth="1"/>
    <col min="3854" max="3854" width="3.0703125" style="814" customWidth="1"/>
    <col min="3855" max="3855" width="4.5703125" style="814" customWidth="1"/>
    <col min="3856" max="3856" width="4.35546875" style="814" customWidth="1"/>
    <col min="3857" max="3857" width="4" style="814" customWidth="1"/>
    <col min="3858" max="3858" width="3" style="814" customWidth="1"/>
    <col min="3859" max="3859" width="3.85546875" style="814" customWidth="1"/>
    <col min="3860" max="3860" width="4.35546875" style="814" customWidth="1"/>
    <col min="3861" max="3861" width="3.35546875" style="814" customWidth="1"/>
    <col min="3862" max="3862" width="4.85546875" style="814" customWidth="1"/>
    <col min="3863" max="3863" width="10.5703125" style="814" customWidth="1"/>
    <col min="3864" max="3864" width="7.0703125" style="814" customWidth="1"/>
    <col min="3865" max="3865" width="8.0703125" style="814" customWidth="1"/>
    <col min="3866" max="3866" width="7.5703125" style="814" customWidth="1"/>
    <col min="3867" max="3868" width="7.7109375" style="814" customWidth="1"/>
    <col min="3869" max="3869" width="7.0703125" style="814" customWidth="1"/>
    <col min="3870" max="4095" width="9.140625" style="814"/>
    <col min="4096" max="4096" width="4.35546875" style="814" customWidth="1"/>
    <col min="4097" max="4097" width="20.5703125" style="814" customWidth="1"/>
    <col min="4098" max="4098" width="12.35546875" style="814" customWidth="1"/>
    <col min="4099" max="4099" width="12.5703125" style="814" customWidth="1"/>
    <col min="4100" max="4100" width="3.85546875" style="814" customWidth="1"/>
    <col min="4101" max="4101" width="4.2109375" style="814" customWidth="1"/>
    <col min="4102" max="4102" width="4.0703125" style="814" customWidth="1"/>
    <col min="4103" max="4103" width="4" style="814" customWidth="1"/>
    <col min="4104" max="4104" width="16.35546875" style="814" customWidth="1"/>
    <col min="4105" max="4105" width="5.5703125" style="814" customWidth="1"/>
    <col min="4106" max="4106" width="8.7109375" style="814" customWidth="1"/>
    <col min="4107" max="4107" width="5.35546875" style="814" customWidth="1"/>
    <col min="4108" max="4108" width="4.35546875" style="814" customWidth="1"/>
    <col min="4109" max="4109" width="4.2109375" style="814" customWidth="1"/>
    <col min="4110" max="4110" width="3.0703125" style="814" customWidth="1"/>
    <col min="4111" max="4111" width="4.5703125" style="814" customWidth="1"/>
    <col min="4112" max="4112" width="4.35546875" style="814" customWidth="1"/>
    <col min="4113" max="4113" width="4" style="814" customWidth="1"/>
    <col min="4114" max="4114" width="3" style="814" customWidth="1"/>
    <col min="4115" max="4115" width="3.85546875" style="814" customWidth="1"/>
    <col min="4116" max="4116" width="4.35546875" style="814" customWidth="1"/>
    <col min="4117" max="4117" width="3.35546875" style="814" customWidth="1"/>
    <col min="4118" max="4118" width="4.85546875" style="814" customWidth="1"/>
    <col min="4119" max="4119" width="10.5703125" style="814" customWidth="1"/>
    <col min="4120" max="4120" width="7.0703125" style="814" customWidth="1"/>
    <col min="4121" max="4121" width="8.0703125" style="814" customWidth="1"/>
    <col min="4122" max="4122" width="7.5703125" style="814" customWidth="1"/>
    <col min="4123" max="4124" width="7.7109375" style="814" customWidth="1"/>
    <col min="4125" max="4125" width="7.0703125" style="814" customWidth="1"/>
    <col min="4126" max="4351" width="9.140625" style="814"/>
    <col min="4352" max="4352" width="4.35546875" style="814" customWidth="1"/>
    <col min="4353" max="4353" width="20.5703125" style="814" customWidth="1"/>
    <col min="4354" max="4354" width="12.35546875" style="814" customWidth="1"/>
    <col min="4355" max="4355" width="12.5703125" style="814" customWidth="1"/>
    <col min="4356" max="4356" width="3.85546875" style="814" customWidth="1"/>
    <col min="4357" max="4357" width="4.2109375" style="814" customWidth="1"/>
    <col min="4358" max="4358" width="4.0703125" style="814" customWidth="1"/>
    <col min="4359" max="4359" width="4" style="814" customWidth="1"/>
    <col min="4360" max="4360" width="16.35546875" style="814" customWidth="1"/>
    <col min="4361" max="4361" width="5.5703125" style="814" customWidth="1"/>
    <col min="4362" max="4362" width="8.7109375" style="814" customWidth="1"/>
    <col min="4363" max="4363" width="5.35546875" style="814" customWidth="1"/>
    <col min="4364" max="4364" width="4.35546875" style="814" customWidth="1"/>
    <col min="4365" max="4365" width="4.2109375" style="814" customWidth="1"/>
    <col min="4366" max="4366" width="3.0703125" style="814" customWidth="1"/>
    <col min="4367" max="4367" width="4.5703125" style="814" customWidth="1"/>
    <col min="4368" max="4368" width="4.35546875" style="814" customWidth="1"/>
    <col min="4369" max="4369" width="4" style="814" customWidth="1"/>
    <col min="4370" max="4370" width="3" style="814" customWidth="1"/>
    <col min="4371" max="4371" width="3.85546875" style="814" customWidth="1"/>
    <col min="4372" max="4372" width="4.35546875" style="814" customWidth="1"/>
    <col min="4373" max="4373" width="3.35546875" style="814" customWidth="1"/>
    <col min="4374" max="4374" width="4.85546875" style="814" customWidth="1"/>
    <col min="4375" max="4375" width="10.5703125" style="814" customWidth="1"/>
    <col min="4376" max="4376" width="7.0703125" style="814" customWidth="1"/>
    <col min="4377" max="4377" width="8.0703125" style="814" customWidth="1"/>
    <col min="4378" max="4378" width="7.5703125" style="814" customWidth="1"/>
    <col min="4379" max="4380" width="7.7109375" style="814" customWidth="1"/>
    <col min="4381" max="4381" width="7.0703125" style="814" customWidth="1"/>
    <col min="4382" max="4607" width="9.140625" style="814"/>
    <col min="4608" max="4608" width="4.35546875" style="814" customWidth="1"/>
    <col min="4609" max="4609" width="20.5703125" style="814" customWidth="1"/>
    <col min="4610" max="4610" width="12.35546875" style="814" customWidth="1"/>
    <col min="4611" max="4611" width="12.5703125" style="814" customWidth="1"/>
    <col min="4612" max="4612" width="3.85546875" style="814" customWidth="1"/>
    <col min="4613" max="4613" width="4.2109375" style="814" customWidth="1"/>
    <col min="4614" max="4614" width="4.0703125" style="814" customWidth="1"/>
    <col min="4615" max="4615" width="4" style="814" customWidth="1"/>
    <col min="4616" max="4616" width="16.35546875" style="814" customWidth="1"/>
    <col min="4617" max="4617" width="5.5703125" style="814" customWidth="1"/>
    <col min="4618" max="4618" width="8.7109375" style="814" customWidth="1"/>
    <col min="4619" max="4619" width="5.35546875" style="814" customWidth="1"/>
    <col min="4620" max="4620" width="4.35546875" style="814" customWidth="1"/>
    <col min="4621" max="4621" width="4.2109375" style="814" customWidth="1"/>
    <col min="4622" max="4622" width="3.0703125" style="814" customWidth="1"/>
    <col min="4623" max="4623" width="4.5703125" style="814" customWidth="1"/>
    <col min="4624" max="4624" width="4.35546875" style="814" customWidth="1"/>
    <col min="4625" max="4625" width="4" style="814" customWidth="1"/>
    <col min="4626" max="4626" width="3" style="814" customWidth="1"/>
    <col min="4627" max="4627" width="3.85546875" style="814" customWidth="1"/>
    <col min="4628" max="4628" width="4.35546875" style="814" customWidth="1"/>
    <col min="4629" max="4629" width="3.35546875" style="814" customWidth="1"/>
    <col min="4630" max="4630" width="4.85546875" style="814" customWidth="1"/>
    <col min="4631" max="4631" width="10.5703125" style="814" customWidth="1"/>
    <col min="4632" max="4632" width="7.0703125" style="814" customWidth="1"/>
    <col min="4633" max="4633" width="8.0703125" style="814" customWidth="1"/>
    <col min="4634" max="4634" width="7.5703125" style="814" customWidth="1"/>
    <col min="4635" max="4636" width="7.7109375" style="814" customWidth="1"/>
    <col min="4637" max="4637" width="7.0703125" style="814" customWidth="1"/>
    <col min="4638" max="4863" width="9.140625" style="814"/>
    <col min="4864" max="4864" width="4.35546875" style="814" customWidth="1"/>
    <col min="4865" max="4865" width="20.5703125" style="814" customWidth="1"/>
    <col min="4866" max="4866" width="12.35546875" style="814" customWidth="1"/>
    <col min="4867" max="4867" width="12.5703125" style="814" customWidth="1"/>
    <col min="4868" max="4868" width="3.85546875" style="814" customWidth="1"/>
    <col min="4869" max="4869" width="4.2109375" style="814" customWidth="1"/>
    <col min="4870" max="4870" width="4.0703125" style="814" customWidth="1"/>
    <col min="4871" max="4871" width="4" style="814" customWidth="1"/>
    <col min="4872" max="4872" width="16.35546875" style="814" customWidth="1"/>
    <col min="4873" max="4873" width="5.5703125" style="814" customWidth="1"/>
    <col min="4874" max="4874" width="8.7109375" style="814" customWidth="1"/>
    <col min="4875" max="4875" width="5.35546875" style="814" customWidth="1"/>
    <col min="4876" max="4876" width="4.35546875" style="814" customWidth="1"/>
    <col min="4877" max="4877" width="4.2109375" style="814" customWidth="1"/>
    <col min="4878" max="4878" width="3.0703125" style="814" customWidth="1"/>
    <col min="4879" max="4879" width="4.5703125" style="814" customWidth="1"/>
    <col min="4880" max="4880" width="4.35546875" style="814" customWidth="1"/>
    <col min="4881" max="4881" width="4" style="814" customWidth="1"/>
    <col min="4882" max="4882" width="3" style="814" customWidth="1"/>
    <col min="4883" max="4883" width="3.85546875" style="814" customWidth="1"/>
    <col min="4884" max="4884" width="4.35546875" style="814" customWidth="1"/>
    <col min="4885" max="4885" width="3.35546875" style="814" customWidth="1"/>
    <col min="4886" max="4886" width="4.85546875" style="814" customWidth="1"/>
    <col min="4887" max="4887" width="10.5703125" style="814" customWidth="1"/>
    <col min="4888" max="4888" width="7.0703125" style="814" customWidth="1"/>
    <col min="4889" max="4889" width="8.0703125" style="814" customWidth="1"/>
    <col min="4890" max="4890" width="7.5703125" style="814" customWidth="1"/>
    <col min="4891" max="4892" width="7.7109375" style="814" customWidth="1"/>
    <col min="4893" max="4893" width="7.0703125" style="814" customWidth="1"/>
    <col min="4894" max="5119" width="9.140625" style="814"/>
    <col min="5120" max="5120" width="4.35546875" style="814" customWidth="1"/>
    <col min="5121" max="5121" width="20.5703125" style="814" customWidth="1"/>
    <col min="5122" max="5122" width="12.35546875" style="814" customWidth="1"/>
    <col min="5123" max="5123" width="12.5703125" style="814" customWidth="1"/>
    <col min="5124" max="5124" width="3.85546875" style="814" customWidth="1"/>
    <col min="5125" max="5125" width="4.2109375" style="814" customWidth="1"/>
    <col min="5126" max="5126" width="4.0703125" style="814" customWidth="1"/>
    <col min="5127" max="5127" width="4" style="814" customWidth="1"/>
    <col min="5128" max="5128" width="16.35546875" style="814" customWidth="1"/>
    <col min="5129" max="5129" width="5.5703125" style="814" customWidth="1"/>
    <col min="5130" max="5130" width="8.7109375" style="814" customWidth="1"/>
    <col min="5131" max="5131" width="5.35546875" style="814" customWidth="1"/>
    <col min="5132" max="5132" width="4.35546875" style="814" customWidth="1"/>
    <col min="5133" max="5133" width="4.2109375" style="814" customWidth="1"/>
    <col min="5134" max="5134" width="3.0703125" style="814" customWidth="1"/>
    <col min="5135" max="5135" width="4.5703125" style="814" customWidth="1"/>
    <col min="5136" max="5136" width="4.35546875" style="814" customWidth="1"/>
    <col min="5137" max="5137" width="4" style="814" customWidth="1"/>
    <col min="5138" max="5138" width="3" style="814" customWidth="1"/>
    <col min="5139" max="5139" width="3.85546875" style="814" customWidth="1"/>
    <col min="5140" max="5140" width="4.35546875" style="814" customWidth="1"/>
    <col min="5141" max="5141" width="3.35546875" style="814" customWidth="1"/>
    <col min="5142" max="5142" width="4.85546875" style="814" customWidth="1"/>
    <col min="5143" max="5143" width="10.5703125" style="814" customWidth="1"/>
    <col min="5144" max="5144" width="7.0703125" style="814" customWidth="1"/>
    <col min="5145" max="5145" width="8.0703125" style="814" customWidth="1"/>
    <col min="5146" max="5146" width="7.5703125" style="814" customWidth="1"/>
    <col min="5147" max="5148" width="7.7109375" style="814" customWidth="1"/>
    <col min="5149" max="5149" width="7.0703125" style="814" customWidth="1"/>
    <col min="5150" max="5375" width="9.140625" style="814"/>
    <col min="5376" max="5376" width="4.35546875" style="814" customWidth="1"/>
    <col min="5377" max="5377" width="20.5703125" style="814" customWidth="1"/>
    <col min="5378" max="5378" width="12.35546875" style="814" customWidth="1"/>
    <col min="5379" max="5379" width="12.5703125" style="814" customWidth="1"/>
    <col min="5380" max="5380" width="3.85546875" style="814" customWidth="1"/>
    <col min="5381" max="5381" width="4.2109375" style="814" customWidth="1"/>
    <col min="5382" max="5382" width="4.0703125" style="814" customWidth="1"/>
    <col min="5383" max="5383" width="4" style="814" customWidth="1"/>
    <col min="5384" max="5384" width="16.35546875" style="814" customWidth="1"/>
    <col min="5385" max="5385" width="5.5703125" style="814" customWidth="1"/>
    <col min="5386" max="5386" width="8.7109375" style="814" customWidth="1"/>
    <col min="5387" max="5387" width="5.35546875" style="814" customWidth="1"/>
    <col min="5388" max="5388" width="4.35546875" style="814" customWidth="1"/>
    <col min="5389" max="5389" width="4.2109375" style="814" customWidth="1"/>
    <col min="5390" max="5390" width="3.0703125" style="814" customWidth="1"/>
    <col min="5391" max="5391" width="4.5703125" style="814" customWidth="1"/>
    <col min="5392" max="5392" width="4.35546875" style="814" customWidth="1"/>
    <col min="5393" max="5393" width="4" style="814" customWidth="1"/>
    <col min="5394" max="5394" width="3" style="814" customWidth="1"/>
    <col min="5395" max="5395" width="3.85546875" style="814" customWidth="1"/>
    <col min="5396" max="5396" width="4.35546875" style="814" customWidth="1"/>
    <col min="5397" max="5397" width="3.35546875" style="814" customWidth="1"/>
    <col min="5398" max="5398" width="4.85546875" style="814" customWidth="1"/>
    <col min="5399" max="5399" width="10.5703125" style="814" customWidth="1"/>
    <col min="5400" max="5400" width="7.0703125" style="814" customWidth="1"/>
    <col min="5401" max="5401" width="8.0703125" style="814" customWidth="1"/>
    <col min="5402" max="5402" width="7.5703125" style="814" customWidth="1"/>
    <col min="5403" max="5404" width="7.7109375" style="814" customWidth="1"/>
    <col min="5405" max="5405" width="7.0703125" style="814" customWidth="1"/>
    <col min="5406" max="5631" width="9.140625" style="814"/>
    <col min="5632" max="5632" width="4.35546875" style="814" customWidth="1"/>
    <col min="5633" max="5633" width="20.5703125" style="814" customWidth="1"/>
    <col min="5634" max="5634" width="12.35546875" style="814" customWidth="1"/>
    <col min="5635" max="5635" width="12.5703125" style="814" customWidth="1"/>
    <col min="5636" max="5636" width="3.85546875" style="814" customWidth="1"/>
    <col min="5637" max="5637" width="4.2109375" style="814" customWidth="1"/>
    <col min="5638" max="5638" width="4.0703125" style="814" customWidth="1"/>
    <col min="5639" max="5639" width="4" style="814" customWidth="1"/>
    <col min="5640" max="5640" width="16.35546875" style="814" customWidth="1"/>
    <col min="5641" max="5641" width="5.5703125" style="814" customWidth="1"/>
    <col min="5642" max="5642" width="8.7109375" style="814" customWidth="1"/>
    <col min="5643" max="5643" width="5.35546875" style="814" customWidth="1"/>
    <col min="5644" max="5644" width="4.35546875" style="814" customWidth="1"/>
    <col min="5645" max="5645" width="4.2109375" style="814" customWidth="1"/>
    <col min="5646" max="5646" width="3.0703125" style="814" customWidth="1"/>
    <col min="5647" max="5647" width="4.5703125" style="814" customWidth="1"/>
    <col min="5648" max="5648" width="4.35546875" style="814" customWidth="1"/>
    <col min="5649" max="5649" width="4" style="814" customWidth="1"/>
    <col min="5650" max="5650" width="3" style="814" customWidth="1"/>
    <col min="5651" max="5651" width="3.85546875" style="814" customWidth="1"/>
    <col min="5652" max="5652" width="4.35546875" style="814" customWidth="1"/>
    <col min="5653" max="5653" width="3.35546875" style="814" customWidth="1"/>
    <col min="5654" max="5654" width="4.85546875" style="814" customWidth="1"/>
    <col min="5655" max="5655" width="10.5703125" style="814" customWidth="1"/>
    <col min="5656" max="5656" width="7.0703125" style="814" customWidth="1"/>
    <col min="5657" max="5657" width="8.0703125" style="814" customWidth="1"/>
    <col min="5658" max="5658" width="7.5703125" style="814" customWidth="1"/>
    <col min="5659" max="5660" width="7.7109375" style="814" customWidth="1"/>
    <col min="5661" max="5661" width="7.0703125" style="814" customWidth="1"/>
    <col min="5662" max="5887" width="9.140625" style="814"/>
    <col min="5888" max="5888" width="4.35546875" style="814" customWidth="1"/>
    <col min="5889" max="5889" width="20.5703125" style="814" customWidth="1"/>
    <col min="5890" max="5890" width="12.35546875" style="814" customWidth="1"/>
    <col min="5891" max="5891" width="12.5703125" style="814" customWidth="1"/>
    <col min="5892" max="5892" width="3.85546875" style="814" customWidth="1"/>
    <col min="5893" max="5893" width="4.2109375" style="814" customWidth="1"/>
    <col min="5894" max="5894" width="4.0703125" style="814" customWidth="1"/>
    <col min="5895" max="5895" width="4" style="814" customWidth="1"/>
    <col min="5896" max="5896" width="16.35546875" style="814" customWidth="1"/>
    <col min="5897" max="5897" width="5.5703125" style="814" customWidth="1"/>
    <col min="5898" max="5898" width="8.7109375" style="814" customWidth="1"/>
    <col min="5899" max="5899" width="5.35546875" style="814" customWidth="1"/>
    <col min="5900" max="5900" width="4.35546875" style="814" customWidth="1"/>
    <col min="5901" max="5901" width="4.2109375" style="814" customWidth="1"/>
    <col min="5902" max="5902" width="3.0703125" style="814" customWidth="1"/>
    <col min="5903" max="5903" width="4.5703125" style="814" customWidth="1"/>
    <col min="5904" max="5904" width="4.35546875" style="814" customWidth="1"/>
    <col min="5905" max="5905" width="4" style="814" customWidth="1"/>
    <col min="5906" max="5906" width="3" style="814" customWidth="1"/>
    <col min="5907" max="5907" width="3.85546875" style="814" customWidth="1"/>
    <col min="5908" max="5908" width="4.35546875" style="814" customWidth="1"/>
    <col min="5909" max="5909" width="3.35546875" style="814" customWidth="1"/>
    <col min="5910" max="5910" width="4.85546875" style="814" customWidth="1"/>
    <col min="5911" max="5911" width="10.5703125" style="814" customWidth="1"/>
    <col min="5912" max="5912" width="7.0703125" style="814" customWidth="1"/>
    <col min="5913" max="5913" width="8.0703125" style="814" customWidth="1"/>
    <col min="5914" max="5914" width="7.5703125" style="814" customWidth="1"/>
    <col min="5915" max="5916" width="7.7109375" style="814" customWidth="1"/>
    <col min="5917" max="5917" width="7.0703125" style="814" customWidth="1"/>
    <col min="5918" max="6143" width="9.140625" style="814"/>
    <col min="6144" max="6144" width="4.35546875" style="814" customWidth="1"/>
    <col min="6145" max="6145" width="20.5703125" style="814" customWidth="1"/>
    <col min="6146" max="6146" width="12.35546875" style="814" customWidth="1"/>
    <col min="6147" max="6147" width="12.5703125" style="814" customWidth="1"/>
    <col min="6148" max="6148" width="3.85546875" style="814" customWidth="1"/>
    <col min="6149" max="6149" width="4.2109375" style="814" customWidth="1"/>
    <col min="6150" max="6150" width="4.0703125" style="814" customWidth="1"/>
    <col min="6151" max="6151" width="4" style="814" customWidth="1"/>
    <col min="6152" max="6152" width="16.35546875" style="814" customWidth="1"/>
    <col min="6153" max="6153" width="5.5703125" style="814" customWidth="1"/>
    <col min="6154" max="6154" width="8.7109375" style="814" customWidth="1"/>
    <col min="6155" max="6155" width="5.35546875" style="814" customWidth="1"/>
    <col min="6156" max="6156" width="4.35546875" style="814" customWidth="1"/>
    <col min="6157" max="6157" width="4.2109375" style="814" customWidth="1"/>
    <col min="6158" max="6158" width="3.0703125" style="814" customWidth="1"/>
    <col min="6159" max="6159" width="4.5703125" style="814" customWidth="1"/>
    <col min="6160" max="6160" width="4.35546875" style="814" customWidth="1"/>
    <col min="6161" max="6161" width="4" style="814" customWidth="1"/>
    <col min="6162" max="6162" width="3" style="814" customWidth="1"/>
    <col min="6163" max="6163" width="3.85546875" style="814" customWidth="1"/>
    <col min="6164" max="6164" width="4.35546875" style="814" customWidth="1"/>
    <col min="6165" max="6165" width="3.35546875" style="814" customWidth="1"/>
    <col min="6166" max="6166" width="4.85546875" style="814" customWidth="1"/>
    <col min="6167" max="6167" width="10.5703125" style="814" customWidth="1"/>
    <col min="6168" max="6168" width="7.0703125" style="814" customWidth="1"/>
    <col min="6169" max="6169" width="8.0703125" style="814" customWidth="1"/>
    <col min="6170" max="6170" width="7.5703125" style="814" customWidth="1"/>
    <col min="6171" max="6172" width="7.7109375" style="814" customWidth="1"/>
    <col min="6173" max="6173" width="7.0703125" style="814" customWidth="1"/>
    <col min="6174" max="6399" width="9.140625" style="814"/>
    <col min="6400" max="6400" width="4.35546875" style="814" customWidth="1"/>
    <col min="6401" max="6401" width="20.5703125" style="814" customWidth="1"/>
    <col min="6402" max="6402" width="12.35546875" style="814" customWidth="1"/>
    <col min="6403" max="6403" width="12.5703125" style="814" customWidth="1"/>
    <col min="6404" max="6404" width="3.85546875" style="814" customWidth="1"/>
    <col min="6405" max="6405" width="4.2109375" style="814" customWidth="1"/>
    <col min="6406" max="6406" width="4.0703125" style="814" customWidth="1"/>
    <col min="6407" max="6407" width="4" style="814" customWidth="1"/>
    <col min="6408" max="6408" width="16.35546875" style="814" customWidth="1"/>
    <col min="6409" max="6409" width="5.5703125" style="814" customWidth="1"/>
    <col min="6410" max="6410" width="8.7109375" style="814" customWidth="1"/>
    <col min="6411" max="6411" width="5.35546875" style="814" customWidth="1"/>
    <col min="6412" max="6412" width="4.35546875" style="814" customWidth="1"/>
    <col min="6413" max="6413" width="4.2109375" style="814" customWidth="1"/>
    <col min="6414" max="6414" width="3.0703125" style="814" customWidth="1"/>
    <col min="6415" max="6415" width="4.5703125" style="814" customWidth="1"/>
    <col min="6416" max="6416" width="4.35546875" style="814" customWidth="1"/>
    <col min="6417" max="6417" width="4" style="814" customWidth="1"/>
    <col min="6418" max="6418" width="3" style="814" customWidth="1"/>
    <col min="6419" max="6419" width="3.85546875" style="814" customWidth="1"/>
    <col min="6420" max="6420" width="4.35546875" style="814" customWidth="1"/>
    <col min="6421" max="6421" width="3.35546875" style="814" customWidth="1"/>
    <col min="6422" max="6422" width="4.85546875" style="814" customWidth="1"/>
    <col min="6423" max="6423" width="10.5703125" style="814" customWidth="1"/>
    <col min="6424" max="6424" width="7.0703125" style="814" customWidth="1"/>
    <col min="6425" max="6425" width="8.0703125" style="814" customWidth="1"/>
    <col min="6426" max="6426" width="7.5703125" style="814" customWidth="1"/>
    <col min="6427" max="6428" width="7.7109375" style="814" customWidth="1"/>
    <col min="6429" max="6429" width="7.0703125" style="814" customWidth="1"/>
    <col min="6430" max="6655" width="9.140625" style="814"/>
    <col min="6656" max="6656" width="4.35546875" style="814" customWidth="1"/>
    <col min="6657" max="6657" width="20.5703125" style="814" customWidth="1"/>
    <col min="6658" max="6658" width="12.35546875" style="814" customWidth="1"/>
    <col min="6659" max="6659" width="12.5703125" style="814" customWidth="1"/>
    <col min="6660" max="6660" width="3.85546875" style="814" customWidth="1"/>
    <col min="6661" max="6661" width="4.2109375" style="814" customWidth="1"/>
    <col min="6662" max="6662" width="4.0703125" style="814" customWidth="1"/>
    <col min="6663" max="6663" width="4" style="814" customWidth="1"/>
    <col min="6664" max="6664" width="16.35546875" style="814" customWidth="1"/>
    <col min="6665" max="6665" width="5.5703125" style="814" customWidth="1"/>
    <col min="6666" max="6666" width="8.7109375" style="814" customWidth="1"/>
    <col min="6667" max="6667" width="5.35546875" style="814" customWidth="1"/>
    <col min="6668" max="6668" width="4.35546875" style="814" customWidth="1"/>
    <col min="6669" max="6669" width="4.2109375" style="814" customWidth="1"/>
    <col min="6670" max="6670" width="3.0703125" style="814" customWidth="1"/>
    <col min="6671" max="6671" width="4.5703125" style="814" customWidth="1"/>
    <col min="6672" max="6672" width="4.35546875" style="814" customWidth="1"/>
    <col min="6673" max="6673" width="4" style="814" customWidth="1"/>
    <col min="6674" max="6674" width="3" style="814" customWidth="1"/>
    <col min="6675" max="6675" width="3.85546875" style="814" customWidth="1"/>
    <col min="6676" max="6676" width="4.35546875" style="814" customWidth="1"/>
    <col min="6677" max="6677" width="3.35546875" style="814" customWidth="1"/>
    <col min="6678" max="6678" width="4.85546875" style="814" customWidth="1"/>
    <col min="6679" max="6679" width="10.5703125" style="814" customWidth="1"/>
    <col min="6680" max="6680" width="7.0703125" style="814" customWidth="1"/>
    <col min="6681" max="6681" width="8.0703125" style="814" customWidth="1"/>
    <col min="6682" max="6682" width="7.5703125" style="814" customWidth="1"/>
    <col min="6683" max="6684" width="7.7109375" style="814" customWidth="1"/>
    <col min="6685" max="6685" width="7.0703125" style="814" customWidth="1"/>
    <col min="6686" max="6911" width="9.140625" style="814"/>
    <col min="6912" max="6912" width="4.35546875" style="814" customWidth="1"/>
    <col min="6913" max="6913" width="20.5703125" style="814" customWidth="1"/>
    <col min="6914" max="6914" width="12.35546875" style="814" customWidth="1"/>
    <col min="6915" max="6915" width="12.5703125" style="814" customWidth="1"/>
    <col min="6916" max="6916" width="3.85546875" style="814" customWidth="1"/>
    <col min="6917" max="6917" width="4.2109375" style="814" customWidth="1"/>
    <col min="6918" max="6918" width="4.0703125" style="814" customWidth="1"/>
    <col min="6919" max="6919" width="4" style="814" customWidth="1"/>
    <col min="6920" max="6920" width="16.35546875" style="814" customWidth="1"/>
    <col min="6921" max="6921" width="5.5703125" style="814" customWidth="1"/>
    <col min="6922" max="6922" width="8.7109375" style="814" customWidth="1"/>
    <col min="6923" max="6923" width="5.35546875" style="814" customWidth="1"/>
    <col min="6924" max="6924" width="4.35546875" style="814" customWidth="1"/>
    <col min="6925" max="6925" width="4.2109375" style="814" customWidth="1"/>
    <col min="6926" max="6926" width="3.0703125" style="814" customWidth="1"/>
    <col min="6927" max="6927" width="4.5703125" style="814" customWidth="1"/>
    <col min="6928" max="6928" width="4.35546875" style="814" customWidth="1"/>
    <col min="6929" max="6929" width="4" style="814" customWidth="1"/>
    <col min="6930" max="6930" width="3" style="814" customWidth="1"/>
    <col min="6931" max="6931" width="3.85546875" style="814" customWidth="1"/>
    <col min="6932" max="6932" width="4.35546875" style="814" customWidth="1"/>
    <col min="6933" max="6933" width="3.35546875" style="814" customWidth="1"/>
    <col min="6934" max="6934" width="4.85546875" style="814" customWidth="1"/>
    <col min="6935" max="6935" width="10.5703125" style="814" customWidth="1"/>
    <col min="6936" max="6936" width="7.0703125" style="814" customWidth="1"/>
    <col min="6937" max="6937" width="8.0703125" style="814" customWidth="1"/>
    <col min="6938" max="6938" width="7.5703125" style="814" customWidth="1"/>
    <col min="6939" max="6940" width="7.7109375" style="814" customWidth="1"/>
    <col min="6941" max="6941" width="7.0703125" style="814" customWidth="1"/>
    <col min="6942" max="7167" width="9.140625" style="814"/>
    <col min="7168" max="7168" width="4.35546875" style="814" customWidth="1"/>
    <col min="7169" max="7169" width="20.5703125" style="814" customWidth="1"/>
    <col min="7170" max="7170" width="12.35546875" style="814" customWidth="1"/>
    <col min="7171" max="7171" width="12.5703125" style="814" customWidth="1"/>
    <col min="7172" max="7172" width="3.85546875" style="814" customWidth="1"/>
    <col min="7173" max="7173" width="4.2109375" style="814" customWidth="1"/>
    <col min="7174" max="7174" width="4.0703125" style="814" customWidth="1"/>
    <col min="7175" max="7175" width="4" style="814" customWidth="1"/>
    <col min="7176" max="7176" width="16.35546875" style="814" customWidth="1"/>
    <col min="7177" max="7177" width="5.5703125" style="814" customWidth="1"/>
    <col min="7178" max="7178" width="8.7109375" style="814" customWidth="1"/>
    <col min="7179" max="7179" width="5.35546875" style="814" customWidth="1"/>
    <col min="7180" max="7180" width="4.35546875" style="814" customWidth="1"/>
    <col min="7181" max="7181" width="4.2109375" style="814" customWidth="1"/>
    <col min="7182" max="7182" width="3.0703125" style="814" customWidth="1"/>
    <col min="7183" max="7183" width="4.5703125" style="814" customWidth="1"/>
    <col min="7184" max="7184" width="4.35546875" style="814" customWidth="1"/>
    <col min="7185" max="7185" width="4" style="814" customWidth="1"/>
    <col min="7186" max="7186" width="3" style="814" customWidth="1"/>
    <col min="7187" max="7187" width="3.85546875" style="814" customWidth="1"/>
    <col min="7188" max="7188" width="4.35546875" style="814" customWidth="1"/>
    <col min="7189" max="7189" width="3.35546875" style="814" customWidth="1"/>
    <col min="7190" max="7190" width="4.85546875" style="814" customWidth="1"/>
    <col min="7191" max="7191" width="10.5703125" style="814" customWidth="1"/>
    <col min="7192" max="7192" width="7.0703125" style="814" customWidth="1"/>
    <col min="7193" max="7193" width="8.0703125" style="814" customWidth="1"/>
    <col min="7194" max="7194" width="7.5703125" style="814" customWidth="1"/>
    <col min="7195" max="7196" width="7.7109375" style="814" customWidth="1"/>
    <col min="7197" max="7197" width="7.0703125" style="814" customWidth="1"/>
    <col min="7198" max="7423" width="9.140625" style="814"/>
    <col min="7424" max="7424" width="4.35546875" style="814" customWidth="1"/>
    <col min="7425" max="7425" width="20.5703125" style="814" customWidth="1"/>
    <col min="7426" max="7426" width="12.35546875" style="814" customWidth="1"/>
    <col min="7427" max="7427" width="12.5703125" style="814" customWidth="1"/>
    <col min="7428" max="7428" width="3.85546875" style="814" customWidth="1"/>
    <col min="7429" max="7429" width="4.2109375" style="814" customWidth="1"/>
    <col min="7430" max="7430" width="4.0703125" style="814" customWidth="1"/>
    <col min="7431" max="7431" width="4" style="814" customWidth="1"/>
    <col min="7432" max="7432" width="16.35546875" style="814" customWidth="1"/>
    <col min="7433" max="7433" width="5.5703125" style="814" customWidth="1"/>
    <col min="7434" max="7434" width="8.7109375" style="814" customWidth="1"/>
    <col min="7435" max="7435" width="5.35546875" style="814" customWidth="1"/>
    <col min="7436" max="7436" width="4.35546875" style="814" customWidth="1"/>
    <col min="7437" max="7437" width="4.2109375" style="814" customWidth="1"/>
    <col min="7438" max="7438" width="3.0703125" style="814" customWidth="1"/>
    <col min="7439" max="7439" width="4.5703125" style="814" customWidth="1"/>
    <col min="7440" max="7440" width="4.35546875" style="814" customWidth="1"/>
    <col min="7441" max="7441" width="4" style="814" customWidth="1"/>
    <col min="7442" max="7442" width="3" style="814" customWidth="1"/>
    <col min="7443" max="7443" width="3.85546875" style="814" customWidth="1"/>
    <col min="7444" max="7444" width="4.35546875" style="814" customWidth="1"/>
    <col min="7445" max="7445" width="3.35546875" style="814" customWidth="1"/>
    <col min="7446" max="7446" width="4.85546875" style="814" customWidth="1"/>
    <col min="7447" max="7447" width="10.5703125" style="814" customWidth="1"/>
    <col min="7448" max="7448" width="7.0703125" style="814" customWidth="1"/>
    <col min="7449" max="7449" width="8.0703125" style="814" customWidth="1"/>
    <col min="7450" max="7450" width="7.5703125" style="814" customWidth="1"/>
    <col min="7451" max="7452" width="7.7109375" style="814" customWidth="1"/>
    <col min="7453" max="7453" width="7.0703125" style="814" customWidth="1"/>
    <col min="7454" max="7679" width="9.140625" style="814"/>
    <col min="7680" max="7680" width="4.35546875" style="814" customWidth="1"/>
    <col min="7681" max="7681" width="20.5703125" style="814" customWidth="1"/>
    <col min="7682" max="7682" width="12.35546875" style="814" customWidth="1"/>
    <col min="7683" max="7683" width="12.5703125" style="814" customWidth="1"/>
    <col min="7684" max="7684" width="3.85546875" style="814" customWidth="1"/>
    <col min="7685" max="7685" width="4.2109375" style="814" customWidth="1"/>
    <col min="7686" max="7686" width="4.0703125" style="814" customWidth="1"/>
    <col min="7687" max="7687" width="4" style="814" customWidth="1"/>
    <col min="7688" max="7688" width="16.35546875" style="814" customWidth="1"/>
    <col min="7689" max="7689" width="5.5703125" style="814" customWidth="1"/>
    <col min="7690" max="7690" width="8.7109375" style="814" customWidth="1"/>
    <col min="7691" max="7691" width="5.35546875" style="814" customWidth="1"/>
    <col min="7692" max="7692" width="4.35546875" style="814" customWidth="1"/>
    <col min="7693" max="7693" width="4.2109375" style="814" customWidth="1"/>
    <col min="7694" max="7694" width="3.0703125" style="814" customWidth="1"/>
    <col min="7695" max="7695" width="4.5703125" style="814" customWidth="1"/>
    <col min="7696" max="7696" width="4.35546875" style="814" customWidth="1"/>
    <col min="7697" max="7697" width="4" style="814" customWidth="1"/>
    <col min="7698" max="7698" width="3" style="814" customWidth="1"/>
    <col min="7699" max="7699" width="3.85546875" style="814" customWidth="1"/>
    <col min="7700" max="7700" width="4.35546875" style="814" customWidth="1"/>
    <col min="7701" max="7701" width="3.35546875" style="814" customWidth="1"/>
    <col min="7702" max="7702" width="4.85546875" style="814" customWidth="1"/>
    <col min="7703" max="7703" width="10.5703125" style="814" customWidth="1"/>
    <col min="7704" max="7704" width="7.0703125" style="814" customWidth="1"/>
    <col min="7705" max="7705" width="8.0703125" style="814" customWidth="1"/>
    <col min="7706" max="7706" width="7.5703125" style="814" customWidth="1"/>
    <col min="7707" max="7708" width="7.7109375" style="814" customWidth="1"/>
    <col min="7709" max="7709" width="7.0703125" style="814" customWidth="1"/>
    <col min="7710" max="7935" width="9.140625" style="814"/>
    <col min="7936" max="7936" width="4.35546875" style="814" customWidth="1"/>
    <col min="7937" max="7937" width="20.5703125" style="814" customWidth="1"/>
    <col min="7938" max="7938" width="12.35546875" style="814" customWidth="1"/>
    <col min="7939" max="7939" width="12.5703125" style="814" customWidth="1"/>
    <col min="7940" max="7940" width="3.85546875" style="814" customWidth="1"/>
    <col min="7941" max="7941" width="4.2109375" style="814" customWidth="1"/>
    <col min="7942" max="7942" width="4.0703125" style="814" customWidth="1"/>
    <col min="7943" max="7943" width="4" style="814" customWidth="1"/>
    <col min="7944" max="7944" width="16.35546875" style="814" customWidth="1"/>
    <col min="7945" max="7945" width="5.5703125" style="814" customWidth="1"/>
    <col min="7946" max="7946" width="8.7109375" style="814" customWidth="1"/>
    <col min="7947" max="7947" width="5.35546875" style="814" customWidth="1"/>
    <col min="7948" max="7948" width="4.35546875" style="814" customWidth="1"/>
    <col min="7949" max="7949" width="4.2109375" style="814" customWidth="1"/>
    <col min="7950" max="7950" width="3.0703125" style="814" customWidth="1"/>
    <col min="7951" max="7951" width="4.5703125" style="814" customWidth="1"/>
    <col min="7952" max="7952" width="4.35546875" style="814" customWidth="1"/>
    <col min="7953" max="7953" width="4" style="814" customWidth="1"/>
    <col min="7954" max="7954" width="3" style="814" customWidth="1"/>
    <col min="7955" max="7955" width="3.85546875" style="814" customWidth="1"/>
    <col min="7956" max="7956" width="4.35546875" style="814" customWidth="1"/>
    <col min="7957" max="7957" width="3.35546875" style="814" customWidth="1"/>
    <col min="7958" max="7958" width="4.85546875" style="814" customWidth="1"/>
    <col min="7959" max="7959" width="10.5703125" style="814" customWidth="1"/>
    <col min="7960" max="7960" width="7.0703125" style="814" customWidth="1"/>
    <col min="7961" max="7961" width="8.0703125" style="814" customWidth="1"/>
    <col min="7962" max="7962" width="7.5703125" style="814" customWidth="1"/>
    <col min="7963" max="7964" width="7.7109375" style="814" customWidth="1"/>
    <col min="7965" max="7965" width="7.0703125" style="814" customWidth="1"/>
    <col min="7966" max="8191" width="9.140625" style="814"/>
    <col min="8192" max="8192" width="4.35546875" style="814" customWidth="1"/>
    <col min="8193" max="8193" width="20.5703125" style="814" customWidth="1"/>
    <col min="8194" max="8194" width="12.35546875" style="814" customWidth="1"/>
    <col min="8195" max="8195" width="12.5703125" style="814" customWidth="1"/>
    <col min="8196" max="8196" width="3.85546875" style="814" customWidth="1"/>
    <col min="8197" max="8197" width="4.2109375" style="814" customWidth="1"/>
    <col min="8198" max="8198" width="4.0703125" style="814" customWidth="1"/>
    <col min="8199" max="8199" width="4" style="814" customWidth="1"/>
    <col min="8200" max="8200" width="16.35546875" style="814" customWidth="1"/>
    <col min="8201" max="8201" width="5.5703125" style="814" customWidth="1"/>
    <col min="8202" max="8202" width="8.7109375" style="814" customWidth="1"/>
    <col min="8203" max="8203" width="5.35546875" style="814" customWidth="1"/>
    <col min="8204" max="8204" width="4.35546875" style="814" customWidth="1"/>
    <col min="8205" max="8205" width="4.2109375" style="814" customWidth="1"/>
    <col min="8206" max="8206" width="3.0703125" style="814" customWidth="1"/>
    <col min="8207" max="8207" width="4.5703125" style="814" customWidth="1"/>
    <col min="8208" max="8208" width="4.35546875" style="814" customWidth="1"/>
    <col min="8209" max="8209" width="4" style="814" customWidth="1"/>
    <col min="8210" max="8210" width="3" style="814" customWidth="1"/>
    <col min="8211" max="8211" width="3.85546875" style="814" customWidth="1"/>
    <col min="8212" max="8212" width="4.35546875" style="814" customWidth="1"/>
    <col min="8213" max="8213" width="3.35546875" style="814" customWidth="1"/>
    <col min="8214" max="8214" width="4.85546875" style="814" customWidth="1"/>
    <col min="8215" max="8215" width="10.5703125" style="814" customWidth="1"/>
    <col min="8216" max="8216" width="7.0703125" style="814" customWidth="1"/>
    <col min="8217" max="8217" width="8.0703125" style="814" customWidth="1"/>
    <col min="8218" max="8218" width="7.5703125" style="814" customWidth="1"/>
    <col min="8219" max="8220" width="7.7109375" style="814" customWidth="1"/>
    <col min="8221" max="8221" width="7.0703125" style="814" customWidth="1"/>
    <col min="8222" max="8447" width="9.140625" style="814"/>
    <col min="8448" max="8448" width="4.35546875" style="814" customWidth="1"/>
    <col min="8449" max="8449" width="20.5703125" style="814" customWidth="1"/>
    <col min="8450" max="8450" width="12.35546875" style="814" customWidth="1"/>
    <col min="8451" max="8451" width="12.5703125" style="814" customWidth="1"/>
    <col min="8452" max="8452" width="3.85546875" style="814" customWidth="1"/>
    <col min="8453" max="8453" width="4.2109375" style="814" customWidth="1"/>
    <col min="8454" max="8454" width="4.0703125" style="814" customWidth="1"/>
    <col min="8455" max="8455" width="4" style="814" customWidth="1"/>
    <col min="8456" max="8456" width="16.35546875" style="814" customWidth="1"/>
    <col min="8457" max="8457" width="5.5703125" style="814" customWidth="1"/>
    <col min="8458" max="8458" width="8.7109375" style="814" customWidth="1"/>
    <col min="8459" max="8459" width="5.35546875" style="814" customWidth="1"/>
    <col min="8460" max="8460" width="4.35546875" style="814" customWidth="1"/>
    <col min="8461" max="8461" width="4.2109375" style="814" customWidth="1"/>
    <col min="8462" max="8462" width="3.0703125" style="814" customWidth="1"/>
    <col min="8463" max="8463" width="4.5703125" style="814" customWidth="1"/>
    <col min="8464" max="8464" width="4.35546875" style="814" customWidth="1"/>
    <col min="8465" max="8465" width="4" style="814" customWidth="1"/>
    <col min="8466" max="8466" width="3" style="814" customWidth="1"/>
    <col min="8467" max="8467" width="3.85546875" style="814" customWidth="1"/>
    <col min="8468" max="8468" width="4.35546875" style="814" customWidth="1"/>
    <col min="8469" max="8469" width="3.35546875" style="814" customWidth="1"/>
    <col min="8470" max="8470" width="4.85546875" style="814" customWidth="1"/>
    <col min="8471" max="8471" width="10.5703125" style="814" customWidth="1"/>
    <col min="8472" max="8472" width="7.0703125" style="814" customWidth="1"/>
    <col min="8473" max="8473" width="8.0703125" style="814" customWidth="1"/>
    <col min="8474" max="8474" width="7.5703125" style="814" customWidth="1"/>
    <col min="8475" max="8476" width="7.7109375" style="814" customWidth="1"/>
    <col min="8477" max="8477" width="7.0703125" style="814" customWidth="1"/>
    <col min="8478" max="8703" width="9.140625" style="814"/>
    <col min="8704" max="8704" width="4.35546875" style="814" customWidth="1"/>
    <col min="8705" max="8705" width="20.5703125" style="814" customWidth="1"/>
    <col min="8706" max="8706" width="12.35546875" style="814" customWidth="1"/>
    <col min="8707" max="8707" width="12.5703125" style="814" customWidth="1"/>
    <col min="8708" max="8708" width="3.85546875" style="814" customWidth="1"/>
    <col min="8709" max="8709" width="4.2109375" style="814" customWidth="1"/>
    <col min="8710" max="8710" width="4.0703125" style="814" customWidth="1"/>
    <col min="8711" max="8711" width="4" style="814" customWidth="1"/>
    <col min="8712" max="8712" width="16.35546875" style="814" customWidth="1"/>
    <col min="8713" max="8713" width="5.5703125" style="814" customWidth="1"/>
    <col min="8714" max="8714" width="8.7109375" style="814" customWidth="1"/>
    <col min="8715" max="8715" width="5.35546875" style="814" customWidth="1"/>
    <col min="8716" max="8716" width="4.35546875" style="814" customWidth="1"/>
    <col min="8717" max="8717" width="4.2109375" style="814" customWidth="1"/>
    <col min="8718" max="8718" width="3.0703125" style="814" customWidth="1"/>
    <col min="8719" max="8719" width="4.5703125" style="814" customWidth="1"/>
    <col min="8720" max="8720" width="4.35546875" style="814" customWidth="1"/>
    <col min="8721" max="8721" width="4" style="814" customWidth="1"/>
    <col min="8722" max="8722" width="3" style="814" customWidth="1"/>
    <col min="8723" max="8723" width="3.85546875" style="814" customWidth="1"/>
    <col min="8724" max="8724" width="4.35546875" style="814" customWidth="1"/>
    <col min="8725" max="8725" width="3.35546875" style="814" customWidth="1"/>
    <col min="8726" max="8726" width="4.85546875" style="814" customWidth="1"/>
    <col min="8727" max="8727" width="10.5703125" style="814" customWidth="1"/>
    <col min="8728" max="8728" width="7.0703125" style="814" customWidth="1"/>
    <col min="8729" max="8729" width="8.0703125" style="814" customWidth="1"/>
    <col min="8730" max="8730" width="7.5703125" style="814" customWidth="1"/>
    <col min="8731" max="8732" width="7.7109375" style="814" customWidth="1"/>
    <col min="8733" max="8733" width="7.0703125" style="814" customWidth="1"/>
    <col min="8734" max="8959" width="9.140625" style="814"/>
    <col min="8960" max="8960" width="4.35546875" style="814" customWidth="1"/>
    <col min="8961" max="8961" width="20.5703125" style="814" customWidth="1"/>
    <col min="8962" max="8962" width="12.35546875" style="814" customWidth="1"/>
    <col min="8963" max="8963" width="12.5703125" style="814" customWidth="1"/>
    <col min="8964" max="8964" width="3.85546875" style="814" customWidth="1"/>
    <col min="8965" max="8965" width="4.2109375" style="814" customWidth="1"/>
    <col min="8966" max="8966" width="4.0703125" style="814" customWidth="1"/>
    <col min="8967" max="8967" width="4" style="814" customWidth="1"/>
    <col min="8968" max="8968" width="16.35546875" style="814" customWidth="1"/>
    <col min="8969" max="8969" width="5.5703125" style="814" customWidth="1"/>
    <col min="8970" max="8970" width="8.7109375" style="814" customWidth="1"/>
    <col min="8971" max="8971" width="5.35546875" style="814" customWidth="1"/>
    <col min="8972" max="8972" width="4.35546875" style="814" customWidth="1"/>
    <col min="8973" max="8973" width="4.2109375" style="814" customWidth="1"/>
    <col min="8974" max="8974" width="3.0703125" style="814" customWidth="1"/>
    <col min="8975" max="8975" width="4.5703125" style="814" customWidth="1"/>
    <col min="8976" max="8976" width="4.35546875" style="814" customWidth="1"/>
    <col min="8977" max="8977" width="4" style="814" customWidth="1"/>
    <col min="8978" max="8978" width="3" style="814" customWidth="1"/>
    <col min="8979" max="8979" width="3.85546875" style="814" customWidth="1"/>
    <col min="8980" max="8980" width="4.35546875" style="814" customWidth="1"/>
    <col min="8981" max="8981" width="3.35546875" style="814" customWidth="1"/>
    <col min="8982" max="8982" width="4.85546875" style="814" customWidth="1"/>
    <col min="8983" max="8983" width="10.5703125" style="814" customWidth="1"/>
    <col min="8984" max="8984" width="7.0703125" style="814" customWidth="1"/>
    <col min="8985" max="8985" width="8.0703125" style="814" customWidth="1"/>
    <col min="8986" max="8986" width="7.5703125" style="814" customWidth="1"/>
    <col min="8987" max="8988" width="7.7109375" style="814" customWidth="1"/>
    <col min="8989" max="8989" width="7.0703125" style="814" customWidth="1"/>
    <col min="8990" max="9215" width="9.140625" style="814"/>
    <col min="9216" max="9216" width="4.35546875" style="814" customWidth="1"/>
    <col min="9217" max="9217" width="20.5703125" style="814" customWidth="1"/>
    <col min="9218" max="9218" width="12.35546875" style="814" customWidth="1"/>
    <col min="9219" max="9219" width="12.5703125" style="814" customWidth="1"/>
    <col min="9220" max="9220" width="3.85546875" style="814" customWidth="1"/>
    <col min="9221" max="9221" width="4.2109375" style="814" customWidth="1"/>
    <col min="9222" max="9222" width="4.0703125" style="814" customWidth="1"/>
    <col min="9223" max="9223" width="4" style="814" customWidth="1"/>
    <col min="9224" max="9224" width="16.35546875" style="814" customWidth="1"/>
    <col min="9225" max="9225" width="5.5703125" style="814" customWidth="1"/>
    <col min="9226" max="9226" width="8.7109375" style="814" customWidth="1"/>
    <col min="9227" max="9227" width="5.35546875" style="814" customWidth="1"/>
    <col min="9228" max="9228" width="4.35546875" style="814" customWidth="1"/>
    <col min="9229" max="9229" width="4.2109375" style="814" customWidth="1"/>
    <col min="9230" max="9230" width="3.0703125" style="814" customWidth="1"/>
    <col min="9231" max="9231" width="4.5703125" style="814" customWidth="1"/>
    <col min="9232" max="9232" width="4.35546875" style="814" customWidth="1"/>
    <col min="9233" max="9233" width="4" style="814" customWidth="1"/>
    <col min="9234" max="9234" width="3" style="814" customWidth="1"/>
    <col min="9235" max="9235" width="3.85546875" style="814" customWidth="1"/>
    <col min="9236" max="9236" width="4.35546875" style="814" customWidth="1"/>
    <col min="9237" max="9237" width="3.35546875" style="814" customWidth="1"/>
    <col min="9238" max="9238" width="4.85546875" style="814" customWidth="1"/>
    <col min="9239" max="9239" width="10.5703125" style="814" customWidth="1"/>
    <col min="9240" max="9240" width="7.0703125" style="814" customWidth="1"/>
    <col min="9241" max="9241" width="8.0703125" style="814" customWidth="1"/>
    <col min="9242" max="9242" width="7.5703125" style="814" customWidth="1"/>
    <col min="9243" max="9244" width="7.7109375" style="814" customWidth="1"/>
    <col min="9245" max="9245" width="7.0703125" style="814" customWidth="1"/>
    <col min="9246" max="9471" width="9.140625" style="814"/>
    <col min="9472" max="9472" width="4.35546875" style="814" customWidth="1"/>
    <col min="9473" max="9473" width="20.5703125" style="814" customWidth="1"/>
    <col min="9474" max="9474" width="12.35546875" style="814" customWidth="1"/>
    <col min="9475" max="9475" width="12.5703125" style="814" customWidth="1"/>
    <col min="9476" max="9476" width="3.85546875" style="814" customWidth="1"/>
    <col min="9477" max="9477" width="4.2109375" style="814" customWidth="1"/>
    <col min="9478" max="9478" width="4.0703125" style="814" customWidth="1"/>
    <col min="9479" max="9479" width="4" style="814" customWidth="1"/>
    <col min="9480" max="9480" width="16.35546875" style="814" customWidth="1"/>
    <col min="9481" max="9481" width="5.5703125" style="814" customWidth="1"/>
    <col min="9482" max="9482" width="8.7109375" style="814" customWidth="1"/>
    <col min="9483" max="9483" width="5.35546875" style="814" customWidth="1"/>
    <col min="9484" max="9484" width="4.35546875" style="814" customWidth="1"/>
    <col min="9485" max="9485" width="4.2109375" style="814" customWidth="1"/>
    <col min="9486" max="9486" width="3.0703125" style="814" customWidth="1"/>
    <col min="9487" max="9487" width="4.5703125" style="814" customWidth="1"/>
    <col min="9488" max="9488" width="4.35546875" style="814" customWidth="1"/>
    <col min="9489" max="9489" width="4" style="814" customWidth="1"/>
    <col min="9490" max="9490" width="3" style="814" customWidth="1"/>
    <col min="9491" max="9491" width="3.85546875" style="814" customWidth="1"/>
    <col min="9492" max="9492" width="4.35546875" style="814" customWidth="1"/>
    <col min="9493" max="9493" width="3.35546875" style="814" customWidth="1"/>
    <col min="9494" max="9494" width="4.85546875" style="814" customWidth="1"/>
    <col min="9495" max="9495" width="10.5703125" style="814" customWidth="1"/>
    <col min="9496" max="9496" width="7.0703125" style="814" customWidth="1"/>
    <col min="9497" max="9497" width="8.0703125" style="814" customWidth="1"/>
    <col min="9498" max="9498" width="7.5703125" style="814" customWidth="1"/>
    <col min="9499" max="9500" width="7.7109375" style="814" customWidth="1"/>
    <col min="9501" max="9501" width="7.0703125" style="814" customWidth="1"/>
    <col min="9502" max="9727" width="9.140625" style="814"/>
    <col min="9728" max="9728" width="4.35546875" style="814" customWidth="1"/>
    <col min="9729" max="9729" width="20.5703125" style="814" customWidth="1"/>
    <col min="9730" max="9730" width="12.35546875" style="814" customWidth="1"/>
    <col min="9731" max="9731" width="12.5703125" style="814" customWidth="1"/>
    <col min="9732" max="9732" width="3.85546875" style="814" customWidth="1"/>
    <col min="9733" max="9733" width="4.2109375" style="814" customWidth="1"/>
    <col min="9734" max="9734" width="4.0703125" style="814" customWidth="1"/>
    <col min="9735" max="9735" width="4" style="814" customWidth="1"/>
    <col min="9736" max="9736" width="16.35546875" style="814" customWidth="1"/>
    <col min="9737" max="9737" width="5.5703125" style="814" customWidth="1"/>
    <col min="9738" max="9738" width="8.7109375" style="814" customWidth="1"/>
    <col min="9739" max="9739" width="5.35546875" style="814" customWidth="1"/>
    <col min="9740" max="9740" width="4.35546875" style="814" customWidth="1"/>
    <col min="9741" max="9741" width="4.2109375" style="814" customWidth="1"/>
    <col min="9742" max="9742" width="3.0703125" style="814" customWidth="1"/>
    <col min="9743" max="9743" width="4.5703125" style="814" customWidth="1"/>
    <col min="9744" max="9744" width="4.35546875" style="814" customWidth="1"/>
    <col min="9745" max="9745" width="4" style="814" customWidth="1"/>
    <col min="9746" max="9746" width="3" style="814" customWidth="1"/>
    <col min="9747" max="9747" width="3.85546875" style="814" customWidth="1"/>
    <col min="9748" max="9748" width="4.35546875" style="814" customWidth="1"/>
    <col min="9749" max="9749" width="3.35546875" style="814" customWidth="1"/>
    <col min="9750" max="9750" width="4.85546875" style="814" customWidth="1"/>
    <col min="9751" max="9751" width="10.5703125" style="814" customWidth="1"/>
    <col min="9752" max="9752" width="7.0703125" style="814" customWidth="1"/>
    <col min="9753" max="9753" width="8.0703125" style="814" customWidth="1"/>
    <col min="9754" max="9754" width="7.5703125" style="814" customWidth="1"/>
    <col min="9755" max="9756" width="7.7109375" style="814" customWidth="1"/>
    <col min="9757" max="9757" width="7.0703125" style="814" customWidth="1"/>
    <col min="9758" max="9983" width="9.140625" style="814"/>
    <col min="9984" max="9984" width="4.35546875" style="814" customWidth="1"/>
    <col min="9985" max="9985" width="20.5703125" style="814" customWidth="1"/>
    <col min="9986" max="9986" width="12.35546875" style="814" customWidth="1"/>
    <col min="9987" max="9987" width="12.5703125" style="814" customWidth="1"/>
    <col min="9988" max="9988" width="3.85546875" style="814" customWidth="1"/>
    <col min="9989" max="9989" width="4.2109375" style="814" customWidth="1"/>
    <col min="9990" max="9990" width="4.0703125" style="814" customWidth="1"/>
    <col min="9991" max="9991" width="4" style="814" customWidth="1"/>
    <col min="9992" max="9992" width="16.35546875" style="814" customWidth="1"/>
    <col min="9993" max="9993" width="5.5703125" style="814" customWidth="1"/>
    <col min="9994" max="9994" width="8.7109375" style="814" customWidth="1"/>
    <col min="9995" max="9995" width="5.35546875" style="814" customWidth="1"/>
    <col min="9996" max="9996" width="4.35546875" style="814" customWidth="1"/>
    <col min="9997" max="9997" width="4.2109375" style="814" customWidth="1"/>
    <col min="9998" max="9998" width="3.0703125" style="814" customWidth="1"/>
    <col min="9999" max="9999" width="4.5703125" style="814" customWidth="1"/>
    <col min="10000" max="10000" width="4.35546875" style="814" customWidth="1"/>
    <col min="10001" max="10001" width="4" style="814" customWidth="1"/>
    <col min="10002" max="10002" width="3" style="814" customWidth="1"/>
    <col min="10003" max="10003" width="3.85546875" style="814" customWidth="1"/>
    <col min="10004" max="10004" width="4.35546875" style="814" customWidth="1"/>
    <col min="10005" max="10005" width="3.35546875" style="814" customWidth="1"/>
    <col min="10006" max="10006" width="4.85546875" style="814" customWidth="1"/>
    <col min="10007" max="10007" width="10.5703125" style="814" customWidth="1"/>
    <col min="10008" max="10008" width="7.0703125" style="814" customWidth="1"/>
    <col min="10009" max="10009" width="8.0703125" style="814" customWidth="1"/>
    <col min="10010" max="10010" width="7.5703125" style="814" customWidth="1"/>
    <col min="10011" max="10012" width="7.7109375" style="814" customWidth="1"/>
    <col min="10013" max="10013" width="7.0703125" style="814" customWidth="1"/>
    <col min="10014" max="10239" width="9.140625" style="814"/>
    <col min="10240" max="10240" width="4.35546875" style="814" customWidth="1"/>
    <col min="10241" max="10241" width="20.5703125" style="814" customWidth="1"/>
    <col min="10242" max="10242" width="12.35546875" style="814" customWidth="1"/>
    <col min="10243" max="10243" width="12.5703125" style="814" customWidth="1"/>
    <col min="10244" max="10244" width="3.85546875" style="814" customWidth="1"/>
    <col min="10245" max="10245" width="4.2109375" style="814" customWidth="1"/>
    <col min="10246" max="10246" width="4.0703125" style="814" customWidth="1"/>
    <col min="10247" max="10247" width="4" style="814" customWidth="1"/>
    <col min="10248" max="10248" width="16.35546875" style="814" customWidth="1"/>
    <col min="10249" max="10249" width="5.5703125" style="814" customWidth="1"/>
    <col min="10250" max="10250" width="8.7109375" style="814" customWidth="1"/>
    <col min="10251" max="10251" width="5.35546875" style="814" customWidth="1"/>
    <col min="10252" max="10252" width="4.35546875" style="814" customWidth="1"/>
    <col min="10253" max="10253" width="4.2109375" style="814" customWidth="1"/>
    <col min="10254" max="10254" width="3.0703125" style="814" customWidth="1"/>
    <col min="10255" max="10255" width="4.5703125" style="814" customWidth="1"/>
    <col min="10256" max="10256" width="4.35546875" style="814" customWidth="1"/>
    <col min="10257" max="10257" width="4" style="814" customWidth="1"/>
    <col min="10258" max="10258" width="3" style="814" customWidth="1"/>
    <col min="10259" max="10259" width="3.85546875" style="814" customWidth="1"/>
    <col min="10260" max="10260" width="4.35546875" style="814" customWidth="1"/>
    <col min="10261" max="10261" width="3.35546875" style="814" customWidth="1"/>
    <col min="10262" max="10262" width="4.85546875" style="814" customWidth="1"/>
    <col min="10263" max="10263" width="10.5703125" style="814" customWidth="1"/>
    <col min="10264" max="10264" width="7.0703125" style="814" customWidth="1"/>
    <col min="10265" max="10265" width="8.0703125" style="814" customWidth="1"/>
    <col min="10266" max="10266" width="7.5703125" style="814" customWidth="1"/>
    <col min="10267" max="10268" width="7.7109375" style="814" customWidth="1"/>
    <col min="10269" max="10269" width="7.0703125" style="814" customWidth="1"/>
    <col min="10270" max="10495" width="9.140625" style="814"/>
    <col min="10496" max="10496" width="4.35546875" style="814" customWidth="1"/>
    <col min="10497" max="10497" width="20.5703125" style="814" customWidth="1"/>
    <col min="10498" max="10498" width="12.35546875" style="814" customWidth="1"/>
    <col min="10499" max="10499" width="12.5703125" style="814" customWidth="1"/>
    <col min="10500" max="10500" width="3.85546875" style="814" customWidth="1"/>
    <col min="10501" max="10501" width="4.2109375" style="814" customWidth="1"/>
    <col min="10502" max="10502" width="4.0703125" style="814" customWidth="1"/>
    <col min="10503" max="10503" width="4" style="814" customWidth="1"/>
    <col min="10504" max="10504" width="16.35546875" style="814" customWidth="1"/>
    <col min="10505" max="10505" width="5.5703125" style="814" customWidth="1"/>
    <col min="10506" max="10506" width="8.7109375" style="814" customWidth="1"/>
    <col min="10507" max="10507" width="5.35546875" style="814" customWidth="1"/>
    <col min="10508" max="10508" width="4.35546875" style="814" customWidth="1"/>
    <col min="10509" max="10509" width="4.2109375" style="814" customWidth="1"/>
    <col min="10510" max="10510" width="3.0703125" style="814" customWidth="1"/>
    <col min="10511" max="10511" width="4.5703125" style="814" customWidth="1"/>
    <col min="10512" max="10512" width="4.35546875" style="814" customWidth="1"/>
    <col min="10513" max="10513" width="4" style="814" customWidth="1"/>
    <col min="10514" max="10514" width="3" style="814" customWidth="1"/>
    <col min="10515" max="10515" width="3.85546875" style="814" customWidth="1"/>
    <col min="10516" max="10516" width="4.35546875" style="814" customWidth="1"/>
    <col min="10517" max="10517" width="3.35546875" style="814" customWidth="1"/>
    <col min="10518" max="10518" width="4.85546875" style="814" customWidth="1"/>
    <col min="10519" max="10519" width="10.5703125" style="814" customWidth="1"/>
    <col min="10520" max="10520" width="7.0703125" style="814" customWidth="1"/>
    <col min="10521" max="10521" width="8.0703125" style="814" customWidth="1"/>
    <col min="10522" max="10522" width="7.5703125" style="814" customWidth="1"/>
    <col min="10523" max="10524" width="7.7109375" style="814" customWidth="1"/>
    <col min="10525" max="10525" width="7.0703125" style="814" customWidth="1"/>
    <col min="10526" max="10751" width="9.140625" style="814"/>
    <col min="10752" max="10752" width="4.35546875" style="814" customWidth="1"/>
    <col min="10753" max="10753" width="20.5703125" style="814" customWidth="1"/>
    <col min="10754" max="10754" width="12.35546875" style="814" customWidth="1"/>
    <col min="10755" max="10755" width="12.5703125" style="814" customWidth="1"/>
    <col min="10756" max="10756" width="3.85546875" style="814" customWidth="1"/>
    <col min="10757" max="10757" width="4.2109375" style="814" customWidth="1"/>
    <col min="10758" max="10758" width="4.0703125" style="814" customWidth="1"/>
    <col min="10759" max="10759" width="4" style="814" customWidth="1"/>
    <col min="10760" max="10760" width="16.35546875" style="814" customWidth="1"/>
    <col min="10761" max="10761" width="5.5703125" style="814" customWidth="1"/>
    <col min="10762" max="10762" width="8.7109375" style="814" customWidth="1"/>
    <col min="10763" max="10763" width="5.35546875" style="814" customWidth="1"/>
    <col min="10764" max="10764" width="4.35546875" style="814" customWidth="1"/>
    <col min="10765" max="10765" width="4.2109375" style="814" customWidth="1"/>
    <col min="10766" max="10766" width="3.0703125" style="814" customWidth="1"/>
    <col min="10767" max="10767" width="4.5703125" style="814" customWidth="1"/>
    <col min="10768" max="10768" width="4.35546875" style="814" customWidth="1"/>
    <col min="10769" max="10769" width="4" style="814" customWidth="1"/>
    <col min="10770" max="10770" width="3" style="814" customWidth="1"/>
    <col min="10771" max="10771" width="3.85546875" style="814" customWidth="1"/>
    <col min="10772" max="10772" width="4.35546875" style="814" customWidth="1"/>
    <col min="10773" max="10773" width="3.35546875" style="814" customWidth="1"/>
    <col min="10774" max="10774" width="4.85546875" style="814" customWidth="1"/>
    <col min="10775" max="10775" width="10.5703125" style="814" customWidth="1"/>
    <col min="10776" max="10776" width="7.0703125" style="814" customWidth="1"/>
    <col min="10777" max="10777" width="8.0703125" style="814" customWidth="1"/>
    <col min="10778" max="10778" width="7.5703125" style="814" customWidth="1"/>
    <col min="10779" max="10780" width="7.7109375" style="814" customWidth="1"/>
    <col min="10781" max="10781" width="7.0703125" style="814" customWidth="1"/>
    <col min="10782" max="11007" width="9.140625" style="814"/>
    <col min="11008" max="11008" width="4.35546875" style="814" customWidth="1"/>
    <col min="11009" max="11009" width="20.5703125" style="814" customWidth="1"/>
    <col min="11010" max="11010" width="12.35546875" style="814" customWidth="1"/>
    <col min="11011" max="11011" width="12.5703125" style="814" customWidth="1"/>
    <col min="11012" max="11012" width="3.85546875" style="814" customWidth="1"/>
    <col min="11013" max="11013" width="4.2109375" style="814" customWidth="1"/>
    <col min="11014" max="11014" width="4.0703125" style="814" customWidth="1"/>
    <col min="11015" max="11015" width="4" style="814" customWidth="1"/>
    <col min="11016" max="11016" width="16.35546875" style="814" customWidth="1"/>
    <col min="11017" max="11017" width="5.5703125" style="814" customWidth="1"/>
    <col min="11018" max="11018" width="8.7109375" style="814" customWidth="1"/>
    <col min="11019" max="11019" width="5.35546875" style="814" customWidth="1"/>
    <col min="11020" max="11020" width="4.35546875" style="814" customWidth="1"/>
    <col min="11021" max="11021" width="4.2109375" style="814" customWidth="1"/>
    <col min="11022" max="11022" width="3.0703125" style="814" customWidth="1"/>
    <col min="11023" max="11023" width="4.5703125" style="814" customWidth="1"/>
    <col min="11024" max="11024" width="4.35546875" style="814" customWidth="1"/>
    <col min="11025" max="11025" width="4" style="814" customWidth="1"/>
    <col min="11026" max="11026" width="3" style="814" customWidth="1"/>
    <col min="11027" max="11027" width="3.85546875" style="814" customWidth="1"/>
    <col min="11028" max="11028" width="4.35546875" style="814" customWidth="1"/>
    <col min="11029" max="11029" width="3.35546875" style="814" customWidth="1"/>
    <col min="11030" max="11030" width="4.85546875" style="814" customWidth="1"/>
    <col min="11031" max="11031" width="10.5703125" style="814" customWidth="1"/>
    <col min="11032" max="11032" width="7.0703125" style="814" customWidth="1"/>
    <col min="11033" max="11033" width="8.0703125" style="814" customWidth="1"/>
    <col min="11034" max="11034" width="7.5703125" style="814" customWidth="1"/>
    <col min="11035" max="11036" width="7.7109375" style="814" customWidth="1"/>
    <col min="11037" max="11037" width="7.0703125" style="814" customWidth="1"/>
    <col min="11038" max="11263" width="9.140625" style="814"/>
    <col min="11264" max="11264" width="4.35546875" style="814" customWidth="1"/>
    <col min="11265" max="11265" width="20.5703125" style="814" customWidth="1"/>
    <col min="11266" max="11266" width="12.35546875" style="814" customWidth="1"/>
    <col min="11267" max="11267" width="12.5703125" style="814" customWidth="1"/>
    <col min="11268" max="11268" width="3.85546875" style="814" customWidth="1"/>
    <col min="11269" max="11269" width="4.2109375" style="814" customWidth="1"/>
    <col min="11270" max="11270" width="4.0703125" style="814" customWidth="1"/>
    <col min="11271" max="11271" width="4" style="814" customWidth="1"/>
    <col min="11272" max="11272" width="16.35546875" style="814" customWidth="1"/>
    <col min="11273" max="11273" width="5.5703125" style="814" customWidth="1"/>
    <col min="11274" max="11274" width="8.7109375" style="814" customWidth="1"/>
    <col min="11275" max="11275" width="5.35546875" style="814" customWidth="1"/>
    <col min="11276" max="11276" width="4.35546875" style="814" customWidth="1"/>
    <col min="11277" max="11277" width="4.2109375" style="814" customWidth="1"/>
    <col min="11278" max="11278" width="3.0703125" style="814" customWidth="1"/>
    <col min="11279" max="11279" width="4.5703125" style="814" customWidth="1"/>
    <col min="11280" max="11280" width="4.35546875" style="814" customWidth="1"/>
    <col min="11281" max="11281" width="4" style="814" customWidth="1"/>
    <col min="11282" max="11282" width="3" style="814" customWidth="1"/>
    <col min="11283" max="11283" width="3.85546875" style="814" customWidth="1"/>
    <col min="11284" max="11284" width="4.35546875" style="814" customWidth="1"/>
    <col min="11285" max="11285" width="3.35546875" style="814" customWidth="1"/>
    <col min="11286" max="11286" width="4.85546875" style="814" customWidth="1"/>
    <col min="11287" max="11287" width="10.5703125" style="814" customWidth="1"/>
    <col min="11288" max="11288" width="7.0703125" style="814" customWidth="1"/>
    <col min="11289" max="11289" width="8.0703125" style="814" customWidth="1"/>
    <col min="11290" max="11290" width="7.5703125" style="814" customWidth="1"/>
    <col min="11291" max="11292" width="7.7109375" style="814" customWidth="1"/>
    <col min="11293" max="11293" width="7.0703125" style="814" customWidth="1"/>
    <col min="11294" max="11519" width="9.140625" style="814"/>
    <col min="11520" max="11520" width="4.35546875" style="814" customWidth="1"/>
    <col min="11521" max="11521" width="20.5703125" style="814" customWidth="1"/>
    <col min="11522" max="11522" width="12.35546875" style="814" customWidth="1"/>
    <col min="11523" max="11523" width="12.5703125" style="814" customWidth="1"/>
    <col min="11524" max="11524" width="3.85546875" style="814" customWidth="1"/>
    <col min="11525" max="11525" width="4.2109375" style="814" customWidth="1"/>
    <col min="11526" max="11526" width="4.0703125" style="814" customWidth="1"/>
    <col min="11527" max="11527" width="4" style="814" customWidth="1"/>
    <col min="11528" max="11528" width="16.35546875" style="814" customWidth="1"/>
    <col min="11529" max="11529" width="5.5703125" style="814" customWidth="1"/>
    <col min="11530" max="11530" width="8.7109375" style="814" customWidth="1"/>
    <col min="11531" max="11531" width="5.35546875" style="814" customWidth="1"/>
    <col min="11532" max="11532" width="4.35546875" style="814" customWidth="1"/>
    <col min="11533" max="11533" width="4.2109375" style="814" customWidth="1"/>
    <col min="11534" max="11534" width="3.0703125" style="814" customWidth="1"/>
    <col min="11535" max="11535" width="4.5703125" style="814" customWidth="1"/>
    <col min="11536" max="11536" width="4.35546875" style="814" customWidth="1"/>
    <col min="11537" max="11537" width="4" style="814" customWidth="1"/>
    <col min="11538" max="11538" width="3" style="814" customWidth="1"/>
    <col min="11539" max="11539" width="3.85546875" style="814" customWidth="1"/>
    <col min="11540" max="11540" width="4.35546875" style="814" customWidth="1"/>
    <col min="11541" max="11541" width="3.35546875" style="814" customWidth="1"/>
    <col min="11542" max="11542" width="4.85546875" style="814" customWidth="1"/>
    <col min="11543" max="11543" width="10.5703125" style="814" customWidth="1"/>
    <col min="11544" max="11544" width="7.0703125" style="814" customWidth="1"/>
    <col min="11545" max="11545" width="8.0703125" style="814" customWidth="1"/>
    <col min="11546" max="11546" width="7.5703125" style="814" customWidth="1"/>
    <col min="11547" max="11548" width="7.7109375" style="814" customWidth="1"/>
    <col min="11549" max="11549" width="7.0703125" style="814" customWidth="1"/>
    <col min="11550" max="11775" width="9.140625" style="814"/>
    <col min="11776" max="11776" width="4.35546875" style="814" customWidth="1"/>
    <col min="11777" max="11777" width="20.5703125" style="814" customWidth="1"/>
    <col min="11778" max="11778" width="12.35546875" style="814" customWidth="1"/>
    <col min="11779" max="11779" width="12.5703125" style="814" customWidth="1"/>
    <col min="11780" max="11780" width="3.85546875" style="814" customWidth="1"/>
    <col min="11781" max="11781" width="4.2109375" style="814" customWidth="1"/>
    <col min="11782" max="11782" width="4.0703125" style="814" customWidth="1"/>
    <col min="11783" max="11783" width="4" style="814" customWidth="1"/>
    <col min="11784" max="11784" width="16.35546875" style="814" customWidth="1"/>
    <col min="11785" max="11785" width="5.5703125" style="814" customWidth="1"/>
    <col min="11786" max="11786" width="8.7109375" style="814" customWidth="1"/>
    <col min="11787" max="11787" width="5.35546875" style="814" customWidth="1"/>
    <col min="11788" max="11788" width="4.35546875" style="814" customWidth="1"/>
    <col min="11789" max="11789" width="4.2109375" style="814" customWidth="1"/>
    <col min="11790" max="11790" width="3.0703125" style="814" customWidth="1"/>
    <col min="11791" max="11791" width="4.5703125" style="814" customWidth="1"/>
    <col min="11792" max="11792" width="4.35546875" style="814" customWidth="1"/>
    <col min="11793" max="11793" width="4" style="814" customWidth="1"/>
    <col min="11794" max="11794" width="3" style="814" customWidth="1"/>
    <col min="11795" max="11795" width="3.85546875" style="814" customWidth="1"/>
    <col min="11796" max="11796" width="4.35546875" style="814" customWidth="1"/>
    <col min="11797" max="11797" width="3.35546875" style="814" customWidth="1"/>
    <col min="11798" max="11798" width="4.85546875" style="814" customWidth="1"/>
    <col min="11799" max="11799" width="10.5703125" style="814" customWidth="1"/>
    <col min="11800" max="11800" width="7.0703125" style="814" customWidth="1"/>
    <col min="11801" max="11801" width="8.0703125" style="814" customWidth="1"/>
    <col min="11802" max="11802" width="7.5703125" style="814" customWidth="1"/>
    <col min="11803" max="11804" width="7.7109375" style="814" customWidth="1"/>
    <col min="11805" max="11805" width="7.0703125" style="814" customWidth="1"/>
    <col min="11806" max="12031" width="9.140625" style="814"/>
    <col min="12032" max="12032" width="4.35546875" style="814" customWidth="1"/>
    <col min="12033" max="12033" width="20.5703125" style="814" customWidth="1"/>
    <col min="12034" max="12034" width="12.35546875" style="814" customWidth="1"/>
    <col min="12035" max="12035" width="12.5703125" style="814" customWidth="1"/>
    <col min="12036" max="12036" width="3.85546875" style="814" customWidth="1"/>
    <col min="12037" max="12037" width="4.2109375" style="814" customWidth="1"/>
    <col min="12038" max="12038" width="4.0703125" style="814" customWidth="1"/>
    <col min="12039" max="12039" width="4" style="814" customWidth="1"/>
    <col min="12040" max="12040" width="16.35546875" style="814" customWidth="1"/>
    <col min="12041" max="12041" width="5.5703125" style="814" customWidth="1"/>
    <col min="12042" max="12042" width="8.7109375" style="814" customWidth="1"/>
    <col min="12043" max="12043" width="5.35546875" style="814" customWidth="1"/>
    <col min="12044" max="12044" width="4.35546875" style="814" customWidth="1"/>
    <col min="12045" max="12045" width="4.2109375" style="814" customWidth="1"/>
    <col min="12046" max="12046" width="3.0703125" style="814" customWidth="1"/>
    <col min="12047" max="12047" width="4.5703125" style="814" customWidth="1"/>
    <col min="12048" max="12048" width="4.35546875" style="814" customWidth="1"/>
    <col min="12049" max="12049" width="4" style="814" customWidth="1"/>
    <col min="12050" max="12050" width="3" style="814" customWidth="1"/>
    <col min="12051" max="12051" width="3.85546875" style="814" customWidth="1"/>
    <col min="12052" max="12052" width="4.35546875" style="814" customWidth="1"/>
    <col min="12053" max="12053" width="3.35546875" style="814" customWidth="1"/>
    <col min="12054" max="12054" width="4.85546875" style="814" customWidth="1"/>
    <col min="12055" max="12055" width="10.5703125" style="814" customWidth="1"/>
    <col min="12056" max="12056" width="7.0703125" style="814" customWidth="1"/>
    <col min="12057" max="12057" width="8.0703125" style="814" customWidth="1"/>
    <col min="12058" max="12058" width="7.5703125" style="814" customWidth="1"/>
    <col min="12059" max="12060" width="7.7109375" style="814" customWidth="1"/>
    <col min="12061" max="12061" width="7.0703125" style="814" customWidth="1"/>
    <col min="12062" max="12287" width="9.140625" style="814"/>
    <col min="12288" max="12288" width="4.35546875" style="814" customWidth="1"/>
    <col min="12289" max="12289" width="20.5703125" style="814" customWidth="1"/>
    <col min="12290" max="12290" width="12.35546875" style="814" customWidth="1"/>
    <col min="12291" max="12291" width="12.5703125" style="814" customWidth="1"/>
    <col min="12292" max="12292" width="3.85546875" style="814" customWidth="1"/>
    <col min="12293" max="12293" width="4.2109375" style="814" customWidth="1"/>
    <col min="12294" max="12294" width="4.0703125" style="814" customWidth="1"/>
    <col min="12295" max="12295" width="4" style="814" customWidth="1"/>
    <col min="12296" max="12296" width="16.35546875" style="814" customWidth="1"/>
    <col min="12297" max="12297" width="5.5703125" style="814" customWidth="1"/>
    <col min="12298" max="12298" width="8.7109375" style="814" customWidth="1"/>
    <col min="12299" max="12299" width="5.35546875" style="814" customWidth="1"/>
    <col min="12300" max="12300" width="4.35546875" style="814" customWidth="1"/>
    <col min="12301" max="12301" width="4.2109375" style="814" customWidth="1"/>
    <col min="12302" max="12302" width="3.0703125" style="814" customWidth="1"/>
    <col min="12303" max="12303" width="4.5703125" style="814" customWidth="1"/>
    <col min="12304" max="12304" width="4.35546875" style="814" customWidth="1"/>
    <col min="12305" max="12305" width="4" style="814" customWidth="1"/>
    <col min="12306" max="12306" width="3" style="814" customWidth="1"/>
    <col min="12307" max="12307" width="3.85546875" style="814" customWidth="1"/>
    <col min="12308" max="12308" width="4.35546875" style="814" customWidth="1"/>
    <col min="12309" max="12309" width="3.35546875" style="814" customWidth="1"/>
    <col min="12310" max="12310" width="4.85546875" style="814" customWidth="1"/>
    <col min="12311" max="12311" width="10.5703125" style="814" customWidth="1"/>
    <col min="12312" max="12312" width="7.0703125" style="814" customWidth="1"/>
    <col min="12313" max="12313" width="8.0703125" style="814" customWidth="1"/>
    <col min="12314" max="12314" width="7.5703125" style="814" customWidth="1"/>
    <col min="12315" max="12316" width="7.7109375" style="814" customWidth="1"/>
    <col min="12317" max="12317" width="7.0703125" style="814" customWidth="1"/>
    <col min="12318" max="12543" width="9.140625" style="814"/>
    <col min="12544" max="12544" width="4.35546875" style="814" customWidth="1"/>
    <col min="12545" max="12545" width="20.5703125" style="814" customWidth="1"/>
    <col min="12546" max="12546" width="12.35546875" style="814" customWidth="1"/>
    <col min="12547" max="12547" width="12.5703125" style="814" customWidth="1"/>
    <col min="12548" max="12548" width="3.85546875" style="814" customWidth="1"/>
    <col min="12549" max="12549" width="4.2109375" style="814" customWidth="1"/>
    <col min="12550" max="12550" width="4.0703125" style="814" customWidth="1"/>
    <col min="12551" max="12551" width="4" style="814" customWidth="1"/>
    <col min="12552" max="12552" width="16.35546875" style="814" customWidth="1"/>
    <col min="12553" max="12553" width="5.5703125" style="814" customWidth="1"/>
    <col min="12554" max="12554" width="8.7109375" style="814" customWidth="1"/>
    <col min="12555" max="12555" width="5.35546875" style="814" customWidth="1"/>
    <col min="12556" max="12556" width="4.35546875" style="814" customWidth="1"/>
    <col min="12557" max="12557" width="4.2109375" style="814" customWidth="1"/>
    <col min="12558" max="12558" width="3.0703125" style="814" customWidth="1"/>
    <col min="12559" max="12559" width="4.5703125" style="814" customWidth="1"/>
    <col min="12560" max="12560" width="4.35546875" style="814" customWidth="1"/>
    <col min="12561" max="12561" width="4" style="814" customWidth="1"/>
    <col min="12562" max="12562" width="3" style="814" customWidth="1"/>
    <col min="12563" max="12563" width="3.85546875" style="814" customWidth="1"/>
    <col min="12564" max="12564" width="4.35546875" style="814" customWidth="1"/>
    <col min="12565" max="12565" width="3.35546875" style="814" customWidth="1"/>
    <col min="12566" max="12566" width="4.85546875" style="814" customWidth="1"/>
    <col min="12567" max="12567" width="10.5703125" style="814" customWidth="1"/>
    <col min="12568" max="12568" width="7.0703125" style="814" customWidth="1"/>
    <col min="12569" max="12569" width="8.0703125" style="814" customWidth="1"/>
    <col min="12570" max="12570" width="7.5703125" style="814" customWidth="1"/>
    <col min="12571" max="12572" width="7.7109375" style="814" customWidth="1"/>
    <col min="12573" max="12573" width="7.0703125" style="814" customWidth="1"/>
    <col min="12574" max="12799" width="9.140625" style="814"/>
    <col min="12800" max="12800" width="4.35546875" style="814" customWidth="1"/>
    <col min="12801" max="12801" width="20.5703125" style="814" customWidth="1"/>
    <col min="12802" max="12802" width="12.35546875" style="814" customWidth="1"/>
    <col min="12803" max="12803" width="12.5703125" style="814" customWidth="1"/>
    <col min="12804" max="12804" width="3.85546875" style="814" customWidth="1"/>
    <col min="12805" max="12805" width="4.2109375" style="814" customWidth="1"/>
    <col min="12806" max="12806" width="4.0703125" style="814" customWidth="1"/>
    <col min="12807" max="12807" width="4" style="814" customWidth="1"/>
    <col min="12808" max="12808" width="16.35546875" style="814" customWidth="1"/>
    <col min="12809" max="12809" width="5.5703125" style="814" customWidth="1"/>
    <col min="12810" max="12810" width="8.7109375" style="814" customWidth="1"/>
    <col min="12811" max="12811" width="5.35546875" style="814" customWidth="1"/>
    <col min="12812" max="12812" width="4.35546875" style="814" customWidth="1"/>
    <col min="12813" max="12813" width="4.2109375" style="814" customWidth="1"/>
    <col min="12814" max="12814" width="3.0703125" style="814" customWidth="1"/>
    <col min="12815" max="12815" width="4.5703125" style="814" customWidth="1"/>
    <col min="12816" max="12816" width="4.35546875" style="814" customWidth="1"/>
    <col min="12817" max="12817" width="4" style="814" customWidth="1"/>
    <col min="12818" max="12818" width="3" style="814" customWidth="1"/>
    <col min="12819" max="12819" width="3.85546875" style="814" customWidth="1"/>
    <col min="12820" max="12820" width="4.35546875" style="814" customWidth="1"/>
    <col min="12821" max="12821" width="3.35546875" style="814" customWidth="1"/>
    <col min="12822" max="12822" width="4.85546875" style="814" customWidth="1"/>
    <col min="12823" max="12823" width="10.5703125" style="814" customWidth="1"/>
    <col min="12824" max="12824" width="7.0703125" style="814" customWidth="1"/>
    <col min="12825" max="12825" width="8.0703125" style="814" customWidth="1"/>
    <col min="12826" max="12826" width="7.5703125" style="814" customWidth="1"/>
    <col min="12827" max="12828" width="7.7109375" style="814" customWidth="1"/>
    <col min="12829" max="12829" width="7.0703125" style="814" customWidth="1"/>
    <col min="12830" max="13055" width="9.140625" style="814"/>
    <col min="13056" max="13056" width="4.35546875" style="814" customWidth="1"/>
    <col min="13057" max="13057" width="20.5703125" style="814" customWidth="1"/>
    <col min="13058" max="13058" width="12.35546875" style="814" customWidth="1"/>
    <col min="13059" max="13059" width="12.5703125" style="814" customWidth="1"/>
    <col min="13060" max="13060" width="3.85546875" style="814" customWidth="1"/>
    <col min="13061" max="13061" width="4.2109375" style="814" customWidth="1"/>
    <col min="13062" max="13062" width="4.0703125" style="814" customWidth="1"/>
    <col min="13063" max="13063" width="4" style="814" customWidth="1"/>
    <col min="13064" max="13064" width="16.35546875" style="814" customWidth="1"/>
    <col min="13065" max="13065" width="5.5703125" style="814" customWidth="1"/>
    <col min="13066" max="13066" width="8.7109375" style="814" customWidth="1"/>
    <col min="13067" max="13067" width="5.35546875" style="814" customWidth="1"/>
    <col min="13068" max="13068" width="4.35546875" style="814" customWidth="1"/>
    <col min="13069" max="13069" width="4.2109375" style="814" customWidth="1"/>
    <col min="13070" max="13070" width="3.0703125" style="814" customWidth="1"/>
    <col min="13071" max="13071" width="4.5703125" style="814" customWidth="1"/>
    <col min="13072" max="13072" width="4.35546875" style="814" customWidth="1"/>
    <col min="13073" max="13073" width="4" style="814" customWidth="1"/>
    <col min="13074" max="13074" width="3" style="814" customWidth="1"/>
    <col min="13075" max="13075" width="3.85546875" style="814" customWidth="1"/>
    <col min="13076" max="13076" width="4.35546875" style="814" customWidth="1"/>
    <col min="13077" max="13077" width="3.35546875" style="814" customWidth="1"/>
    <col min="13078" max="13078" width="4.85546875" style="814" customWidth="1"/>
    <col min="13079" max="13079" width="10.5703125" style="814" customWidth="1"/>
    <col min="13080" max="13080" width="7.0703125" style="814" customWidth="1"/>
    <col min="13081" max="13081" width="8.0703125" style="814" customWidth="1"/>
    <col min="13082" max="13082" width="7.5703125" style="814" customWidth="1"/>
    <col min="13083" max="13084" width="7.7109375" style="814" customWidth="1"/>
    <col min="13085" max="13085" width="7.0703125" style="814" customWidth="1"/>
    <col min="13086" max="13311" width="9.140625" style="814"/>
    <col min="13312" max="13312" width="4.35546875" style="814" customWidth="1"/>
    <col min="13313" max="13313" width="20.5703125" style="814" customWidth="1"/>
    <col min="13314" max="13314" width="12.35546875" style="814" customWidth="1"/>
    <col min="13315" max="13315" width="12.5703125" style="814" customWidth="1"/>
    <col min="13316" max="13316" width="3.85546875" style="814" customWidth="1"/>
    <col min="13317" max="13317" width="4.2109375" style="814" customWidth="1"/>
    <col min="13318" max="13318" width="4.0703125" style="814" customWidth="1"/>
    <col min="13319" max="13319" width="4" style="814" customWidth="1"/>
    <col min="13320" max="13320" width="16.35546875" style="814" customWidth="1"/>
    <col min="13321" max="13321" width="5.5703125" style="814" customWidth="1"/>
    <col min="13322" max="13322" width="8.7109375" style="814" customWidth="1"/>
    <col min="13323" max="13323" width="5.35546875" style="814" customWidth="1"/>
    <col min="13324" max="13324" width="4.35546875" style="814" customWidth="1"/>
    <col min="13325" max="13325" width="4.2109375" style="814" customWidth="1"/>
    <col min="13326" max="13326" width="3.0703125" style="814" customWidth="1"/>
    <col min="13327" max="13327" width="4.5703125" style="814" customWidth="1"/>
    <col min="13328" max="13328" width="4.35546875" style="814" customWidth="1"/>
    <col min="13329" max="13329" width="4" style="814" customWidth="1"/>
    <col min="13330" max="13330" width="3" style="814" customWidth="1"/>
    <col min="13331" max="13331" width="3.85546875" style="814" customWidth="1"/>
    <col min="13332" max="13332" width="4.35546875" style="814" customWidth="1"/>
    <col min="13333" max="13333" width="3.35546875" style="814" customWidth="1"/>
    <col min="13334" max="13334" width="4.85546875" style="814" customWidth="1"/>
    <col min="13335" max="13335" width="10.5703125" style="814" customWidth="1"/>
    <col min="13336" max="13336" width="7.0703125" style="814" customWidth="1"/>
    <col min="13337" max="13337" width="8.0703125" style="814" customWidth="1"/>
    <col min="13338" max="13338" width="7.5703125" style="814" customWidth="1"/>
    <col min="13339" max="13340" width="7.7109375" style="814" customWidth="1"/>
    <col min="13341" max="13341" width="7.0703125" style="814" customWidth="1"/>
    <col min="13342" max="13567" width="9.140625" style="814"/>
    <col min="13568" max="13568" width="4.35546875" style="814" customWidth="1"/>
    <col min="13569" max="13569" width="20.5703125" style="814" customWidth="1"/>
    <col min="13570" max="13570" width="12.35546875" style="814" customWidth="1"/>
    <col min="13571" max="13571" width="12.5703125" style="814" customWidth="1"/>
    <col min="13572" max="13572" width="3.85546875" style="814" customWidth="1"/>
    <col min="13573" max="13573" width="4.2109375" style="814" customWidth="1"/>
    <col min="13574" max="13574" width="4.0703125" style="814" customWidth="1"/>
    <col min="13575" max="13575" width="4" style="814" customWidth="1"/>
    <col min="13576" max="13576" width="16.35546875" style="814" customWidth="1"/>
    <col min="13577" max="13577" width="5.5703125" style="814" customWidth="1"/>
    <col min="13578" max="13578" width="8.7109375" style="814" customWidth="1"/>
    <col min="13579" max="13579" width="5.35546875" style="814" customWidth="1"/>
    <col min="13580" max="13580" width="4.35546875" style="814" customWidth="1"/>
    <col min="13581" max="13581" width="4.2109375" style="814" customWidth="1"/>
    <col min="13582" max="13582" width="3.0703125" style="814" customWidth="1"/>
    <col min="13583" max="13583" width="4.5703125" style="814" customWidth="1"/>
    <col min="13584" max="13584" width="4.35546875" style="814" customWidth="1"/>
    <col min="13585" max="13585" width="4" style="814" customWidth="1"/>
    <col min="13586" max="13586" width="3" style="814" customWidth="1"/>
    <col min="13587" max="13587" width="3.85546875" style="814" customWidth="1"/>
    <col min="13588" max="13588" width="4.35546875" style="814" customWidth="1"/>
    <col min="13589" max="13589" width="3.35546875" style="814" customWidth="1"/>
    <col min="13590" max="13590" width="4.85546875" style="814" customWidth="1"/>
    <col min="13591" max="13591" width="10.5703125" style="814" customWidth="1"/>
    <col min="13592" max="13592" width="7.0703125" style="814" customWidth="1"/>
    <col min="13593" max="13593" width="8.0703125" style="814" customWidth="1"/>
    <col min="13594" max="13594" width="7.5703125" style="814" customWidth="1"/>
    <col min="13595" max="13596" width="7.7109375" style="814" customWidth="1"/>
    <col min="13597" max="13597" width="7.0703125" style="814" customWidth="1"/>
    <col min="13598" max="13823" width="9.140625" style="814"/>
    <col min="13824" max="13824" width="4.35546875" style="814" customWidth="1"/>
    <col min="13825" max="13825" width="20.5703125" style="814" customWidth="1"/>
    <col min="13826" max="13826" width="12.35546875" style="814" customWidth="1"/>
    <col min="13827" max="13827" width="12.5703125" style="814" customWidth="1"/>
    <col min="13828" max="13828" width="3.85546875" style="814" customWidth="1"/>
    <col min="13829" max="13829" width="4.2109375" style="814" customWidth="1"/>
    <col min="13830" max="13830" width="4.0703125" style="814" customWidth="1"/>
    <col min="13831" max="13831" width="4" style="814" customWidth="1"/>
    <col min="13832" max="13832" width="16.35546875" style="814" customWidth="1"/>
    <col min="13833" max="13833" width="5.5703125" style="814" customWidth="1"/>
    <col min="13834" max="13834" width="8.7109375" style="814" customWidth="1"/>
    <col min="13835" max="13835" width="5.35546875" style="814" customWidth="1"/>
    <col min="13836" max="13836" width="4.35546875" style="814" customWidth="1"/>
    <col min="13837" max="13837" width="4.2109375" style="814" customWidth="1"/>
    <col min="13838" max="13838" width="3.0703125" style="814" customWidth="1"/>
    <col min="13839" max="13839" width="4.5703125" style="814" customWidth="1"/>
    <col min="13840" max="13840" width="4.35546875" style="814" customWidth="1"/>
    <col min="13841" max="13841" width="4" style="814" customWidth="1"/>
    <col min="13842" max="13842" width="3" style="814" customWidth="1"/>
    <col min="13843" max="13843" width="3.85546875" style="814" customWidth="1"/>
    <col min="13844" max="13844" width="4.35546875" style="814" customWidth="1"/>
    <col min="13845" max="13845" width="3.35546875" style="814" customWidth="1"/>
    <col min="13846" max="13846" width="4.85546875" style="814" customWidth="1"/>
    <col min="13847" max="13847" width="10.5703125" style="814" customWidth="1"/>
    <col min="13848" max="13848" width="7.0703125" style="814" customWidth="1"/>
    <col min="13849" max="13849" width="8.0703125" style="814" customWidth="1"/>
    <col min="13850" max="13850" width="7.5703125" style="814" customWidth="1"/>
    <col min="13851" max="13852" width="7.7109375" style="814" customWidth="1"/>
    <col min="13853" max="13853" width="7.0703125" style="814" customWidth="1"/>
    <col min="13854" max="14079" width="9.140625" style="814"/>
    <col min="14080" max="14080" width="4.35546875" style="814" customWidth="1"/>
    <col min="14081" max="14081" width="20.5703125" style="814" customWidth="1"/>
    <col min="14082" max="14082" width="12.35546875" style="814" customWidth="1"/>
    <col min="14083" max="14083" width="12.5703125" style="814" customWidth="1"/>
    <col min="14084" max="14084" width="3.85546875" style="814" customWidth="1"/>
    <col min="14085" max="14085" width="4.2109375" style="814" customWidth="1"/>
    <col min="14086" max="14086" width="4.0703125" style="814" customWidth="1"/>
    <col min="14087" max="14087" width="4" style="814" customWidth="1"/>
    <col min="14088" max="14088" width="16.35546875" style="814" customWidth="1"/>
    <col min="14089" max="14089" width="5.5703125" style="814" customWidth="1"/>
    <col min="14090" max="14090" width="8.7109375" style="814" customWidth="1"/>
    <col min="14091" max="14091" width="5.35546875" style="814" customWidth="1"/>
    <col min="14092" max="14092" width="4.35546875" style="814" customWidth="1"/>
    <col min="14093" max="14093" width="4.2109375" style="814" customWidth="1"/>
    <col min="14094" max="14094" width="3.0703125" style="814" customWidth="1"/>
    <col min="14095" max="14095" width="4.5703125" style="814" customWidth="1"/>
    <col min="14096" max="14096" width="4.35546875" style="814" customWidth="1"/>
    <col min="14097" max="14097" width="4" style="814" customWidth="1"/>
    <col min="14098" max="14098" width="3" style="814" customWidth="1"/>
    <col min="14099" max="14099" width="3.85546875" style="814" customWidth="1"/>
    <col min="14100" max="14100" width="4.35546875" style="814" customWidth="1"/>
    <col min="14101" max="14101" width="3.35546875" style="814" customWidth="1"/>
    <col min="14102" max="14102" width="4.85546875" style="814" customWidth="1"/>
    <col min="14103" max="14103" width="10.5703125" style="814" customWidth="1"/>
    <col min="14104" max="14104" width="7.0703125" style="814" customWidth="1"/>
    <col min="14105" max="14105" width="8.0703125" style="814" customWidth="1"/>
    <col min="14106" max="14106" width="7.5703125" style="814" customWidth="1"/>
    <col min="14107" max="14108" width="7.7109375" style="814" customWidth="1"/>
    <col min="14109" max="14109" width="7.0703125" style="814" customWidth="1"/>
    <col min="14110" max="14335" width="9.140625" style="814"/>
    <col min="14336" max="14336" width="4.35546875" style="814" customWidth="1"/>
    <col min="14337" max="14337" width="20.5703125" style="814" customWidth="1"/>
    <col min="14338" max="14338" width="12.35546875" style="814" customWidth="1"/>
    <col min="14339" max="14339" width="12.5703125" style="814" customWidth="1"/>
    <col min="14340" max="14340" width="3.85546875" style="814" customWidth="1"/>
    <col min="14341" max="14341" width="4.2109375" style="814" customWidth="1"/>
    <col min="14342" max="14342" width="4.0703125" style="814" customWidth="1"/>
    <col min="14343" max="14343" width="4" style="814" customWidth="1"/>
    <col min="14344" max="14344" width="16.35546875" style="814" customWidth="1"/>
    <col min="14345" max="14345" width="5.5703125" style="814" customWidth="1"/>
    <col min="14346" max="14346" width="8.7109375" style="814" customWidth="1"/>
    <col min="14347" max="14347" width="5.35546875" style="814" customWidth="1"/>
    <col min="14348" max="14348" width="4.35546875" style="814" customWidth="1"/>
    <col min="14349" max="14349" width="4.2109375" style="814" customWidth="1"/>
    <col min="14350" max="14350" width="3.0703125" style="814" customWidth="1"/>
    <col min="14351" max="14351" width="4.5703125" style="814" customWidth="1"/>
    <col min="14352" max="14352" width="4.35546875" style="814" customWidth="1"/>
    <col min="14353" max="14353" width="4" style="814" customWidth="1"/>
    <col min="14354" max="14354" width="3" style="814" customWidth="1"/>
    <col min="14355" max="14355" width="3.85546875" style="814" customWidth="1"/>
    <col min="14356" max="14356" width="4.35546875" style="814" customWidth="1"/>
    <col min="14357" max="14357" width="3.35546875" style="814" customWidth="1"/>
    <col min="14358" max="14358" width="4.85546875" style="814" customWidth="1"/>
    <col min="14359" max="14359" width="10.5703125" style="814" customWidth="1"/>
    <col min="14360" max="14360" width="7.0703125" style="814" customWidth="1"/>
    <col min="14361" max="14361" width="8.0703125" style="814" customWidth="1"/>
    <col min="14362" max="14362" width="7.5703125" style="814" customWidth="1"/>
    <col min="14363" max="14364" width="7.7109375" style="814" customWidth="1"/>
    <col min="14365" max="14365" width="7.0703125" style="814" customWidth="1"/>
    <col min="14366" max="14591" width="9.140625" style="814"/>
    <col min="14592" max="14592" width="4.35546875" style="814" customWidth="1"/>
    <col min="14593" max="14593" width="20.5703125" style="814" customWidth="1"/>
    <col min="14594" max="14594" width="12.35546875" style="814" customWidth="1"/>
    <col min="14595" max="14595" width="12.5703125" style="814" customWidth="1"/>
    <col min="14596" max="14596" width="3.85546875" style="814" customWidth="1"/>
    <col min="14597" max="14597" width="4.2109375" style="814" customWidth="1"/>
    <col min="14598" max="14598" width="4.0703125" style="814" customWidth="1"/>
    <col min="14599" max="14599" width="4" style="814" customWidth="1"/>
    <col min="14600" max="14600" width="16.35546875" style="814" customWidth="1"/>
    <col min="14601" max="14601" width="5.5703125" style="814" customWidth="1"/>
    <col min="14602" max="14602" width="8.7109375" style="814" customWidth="1"/>
    <col min="14603" max="14603" width="5.35546875" style="814" customWidth="1"/>
    <col min="14604" max="14604" width="4.35546875" style="814" customWidth="1"/>
    <col min="14605" max="14605" width="4.2109375" style="814" customWidth="1"/>
    <col min="14606" max="14606" width="3.0703125" style="814" customWidth="1"/>
    <col min="14607" max="14607" width="4.5703125" style="814" customWidth="1"/>
    <col min="14608" max="14608" width="4.35546875" style="814" customWidth="1"/>
    <col min="14609" max="14609" width="4" style="814" customWidth="1"/>
    <col min="14610" max="14610" width="3" style="814" customWidth="1"/>
    <col min="14611" max="14611" width="3.85546875" style="814" customWidth="1"/>
    <col min="14612" max="14612" width="4.35546875" style="814" customWidth="1"/>
    <col min="14613" max="14613" width="3.35546875" style="814" customWidth="1"/>
    <col min="14614" max="14614" width="4.85546875" style="814" customWidth="1"/>
    <col min="14615" max="14615" width="10.5703125" style="814" customWidth="1"/>
    <col min="14616" max="14616" width="7.0703125" style="814" customWidth="1"/>
    <col min="14617" max="14617" width="8.0703125" style="814" customWidth="1"/>
    <col min="14618" max="14618" width="7.5703125" style="814" customWidth="1"/>
    <col min="14619" max="14620" width="7.7109375" style="814" customWidth="1"/>
    <col min="14621" max="14621" width="7.0703125" style="814" customWidth="1"/>
    <col min="14622" max="14847" width="9.140625" style="814"/>
    <col min="14848" max="14848" width="4.35546875" style="814" customWidth="1"/>
    <col min="14849" max="14849" width="20.5703125" style="814" customWidth="1"/>
    <col min="14850" max="14850" width="12.35546875" style="814" customWidth="1"/>
    <col min="14851" max="14851" width="12.5703125" style="814" customWidth="1"/>
    <col min="14852" max="14852" width="3.85546875" style="814" customWidth="1"/>
    <col min="14853" max="14853" width="4.2109375" style="814" customWidth="1"/>
    <col min="14854" max="14854" width="4.0703125" style="814" customWidth="1"/>
    <col min="14855" max="14855" width="4" style="814" customWidth="1"/>
    <col min="14856" max="14856" width="16.35546875" style="814" customWidth="1"/>
    <col min="14857" max="14857" width="5.5703125" style="814" customWidth="1"/>
    <col min="14858" max="14858" width="8.7109375" style="814" customWidth="1"/>
    <col min="14859" max="14859" width="5.35546875" style="814" customWidth="1"/>
    <col min="14860" max="14860" width="4.35546875" style="814" customWidth="1"/>
    <col min="14861" max="14861" width="4.2109375" style="814" customWidth="1"/>
    <col min="14862" max="14862" width="3.0703125" style="814" customWidth="1"/>
    <col min="14863" max="14863" width="4.5703125" style="814" customWidth="1"/>
    <col min="14864" max="14864" width="4.35546875" style="814" customWidth="1"/>
    <col min="14865" max="14865" width="4" style="814" customWidth="1"/>
    <col min="14866" max="14866" width="3" style="814" customWidth="1"/>
    <col min="14867" max="14867" width="3.85546875" style="814" customWidth="1"/>
    <col min="14868" max="14868" width="4.35546875" style="814" customWidth="1"/>
    <col min="14869" max="14869" width="3.35546875" style="814" customWidth="1"/>
    <col min="14870" max="14870" width="4.85546875" style="814" customWidth="1"/>
    <col min="14871" max="14871" width="10.5703125" style="814" customWidth="1"/>
    <col min="14872" max="14872" width="7.0703125" style="814" customWidth="1"/>
    <col min="14873" max="14873" width="8.0703125" style="814" customWidth="1"/>
    <col min="14874" max="14874" width="7.5703125" style="814" customWidth="1"/>
    <col min="14875" max="14876" width="7.7109375" style="814" customWidth="1"/>
    <col min="14877" max="14877" width="7.0703125" style="814" customWidth="1"/>
    <col min="14878" max="15103" width="9.140625" style="814"/>
    <col min="15104" max="15104" width="4.35546875" style="814" customWidth="1"/>
    <col min="15105" max="15105" width="20.5703125" style="814" customWidth="1"/>
    <col min="15106" max="15106" width="12.35546875" style="814" customWidth="1"/>
    <col min="15107" max="15107" width="12.5703125" style="814" customWidth="1"/>
    <col min="15108" max="15108" width="3.85546875" style="814" customWidth="1"/>
    <col min="15109" max="15109" width="4.2109375" style="814" customWidth="1"/>
    <col min="15110" max="15110" width="4.0703125" style="814" customWidth="1"/>
    <col min="15111" max="15111" width="4" style="814" customWidth="1"/>
    <col min="15112" max="15112" width="16.35546875" style="814" customWidth="1"/>
    <col min="15113" max="15113" width="5.5703125" style="814" customWidth="1"/>
    <col min="15114" max="15114" width="8.7109375" style="814" customWidth="1"/>
    <col min="15115" max="15115" width="5.35546875" style="814" customWidth="1"/>
    <col min="15116" max="15116" width="4.35546875" style="814" customWidth="1"/>
    <col min="15117" max="15117" width="4.2109375" style="814" customWidth="1"/>
    <col min="15118" max="15118" width="3.0703125" style="814" customWidth="1"/>
    <col min="15119" max="15119" width="4.5703125" style="814" customWidth="1"/>
    <col min="15120" max="15120" width="4.35546875" style="814" customWidth="1"/>
    <col min="15121" max="15121" width="4" style="814" customWidth="1"/>
    <col min="15122" max="15122" width="3" style="814" customWidth="1"/>
    <col min="15123" max="15123" width="3.85546875" style="814" customWidth="1"/>
    <col min="15124" max="15124" width="4.35546875" style="814" customWidth="1"/>
    <col min="15125" max="15125" width="3.35546875" style="814" customWidth="1"/>
    <col min="15126" max="15126" width="4.85546875" style="814" customWidth="1"/>
    <col min="15127" max="15127" width="10.5703125" style="814" customWidth="1"/>
    <col min="15128" max="15128" width="7.0703125" style="814" customWidth="1"/>
    <col min="15129" max="15129" width="8.0703125" style="814" customWidth="1"/>
    <col min="15130" max="15130" width="7.5703125" style="814" customWidth="1"/>
    <col min="15131" max="15132" width="7.7109375" style="814" customWidth="1"/>
    <col min="15133" max="15133" width="7.0703125" style="814" customWidth="1"/>
    <col min="15134" max="15359" width="9.140625" style="814"/>
    <col min="15360" max="15360" width="4.35546875" style="814" customWidth="1"/>
    <col min="15361" max="15361" width="20.5703125" style="814" customWidth="1"/>
    <col min="15362" max="15362" width="12.35546875" style="814" customWidth="1"/>
    <col min="15363" max="15363" width="12.5703125" style="814" customWidth="1"/>
    <col min="15364" max="15364" width="3.85546875" style="814" customWidth="1"/>
    <col min="15365" max="15365" width="4.2109375" style="814" customWidth="1"/>
    <col min="15366" max="15366" width="4.0703125" style="814" customWidth="1"/>
    <col min="15367" max="15367" width="4" style="814" customWidth="1"/>
    <col min="15368" max="15368" width="16.35546875" style="814" customWidth="1"/>
    <col min="15369" max="15369" width="5.5703125" style="814" customWidth="1"/>
    <col min="15370" max="15370" width="8.7109375" style="814" customWidth="1"/>
    <col min="15371" max="15371" width="5.35546875" style="814" customWidth="1"/>
    <col min="15372" max="15372" width="4.35546875" style="814" customWidth="1"/>
    <col min="15373" max="15373" width="4.2109375" style="814" customWidth="1"/>
    <col min="15374" max="15374" width="3.0703125" style="814" customWidth="1"/>
    <col min="15375" max="15375" width="4.5703125" style="814" customWidth="1"/>
    <col min="15376" max="15376" width="4.35546875" style="814" customWidth="1"/>
    <col min="15377" max="15377" width="4" style="814" customWidth="1"/>
    <col min="15378" max="15378" width="3" style="814" customWidth="1"/>
    <col min="15379" max="15379" width="3.85546875" style="814" customWidth="1"/>
    <col min="15380" max="15380" width="4.35546875" style="814" customWidth="1"/>
    <col min="15381" max="15381" width="3.35546875" style="814" customWidth="1"/>
    <col min="15382" max="15382" width="4.85546875" style="814" customWidth="1"/>
    <col min="15383" max="15383" width="10.5703125" style="814" customWidth="1"/>
    <col min="15384" max="15384" width="7.0703125" style="814" customWidth="1"/>
    <col min="15385" max="15385" width="8.0703125" style="814" customWidth="1"/>
    <col min="15386" max="15386" width="7.5703125" style="814" customWidth="1"/>
    <col min="15387" max="15388" width="7.7109375" style="814" customWidth="1"/>
    <col min="15389" max="15389" width="7.0703125" style="814" customWidth="1"/>
    <col min="15390" max="15615" width="9.140625" style="814"/>
    <col min="15616" max="15616" width="4.35546875" style="814" customWidth="1"/>
    <col min="15617" max="15617" width="20.5703125" style="814" customWidth="1"/>
    <col min="15618" max="15618" width="12.35546875" style="814" customWidth="1"/>
    <col min="15619" max="15619" width="12.5703125" style="814" customWidth="1"/>
    <col min="15620" max="15620" width="3.85546875" style="814" customWidth="1"/>
    <col min="15621" max="15621" width="4.2109375" style="814" customWidth="1"/>
    <col min="15622" max="15622" width="4.0703125" style="814" customWidth="1"/>
    <col min="15623" max="15623" width="4" style="814" customWidth="1"/>
    <col min="15624" max="15624" width="16.35546875" style="814" customWidth="1"/>
    <col min="15625" max="15625" width="5.5703125" style="814" customWidth="1"/>
    <col min="15626" max="15626" width="8.7109375" style="814" customWidth="1"/>
    <col min="15627" max="15627" width="5.35546875" style="814" customWidth="1"/>
    <col min="15628" max="15628" width="4.35546875" style="814" customWidth="1"/>
    <col min="15629" max="15629" width="4.2109375" style="814" customWidth="1"/>
    <col min="15630" max="15630" width="3.0703125" style="814" customWidth="1"/>
    <col min="15631" max="15631" width="4.5703125" style="814" customWidth="1"/>
    <col min="15632" max="15632" width="4.35546875" style="814" customWidth="1"/>
    <col min="15633" max="15633" width="4" style="814" customWidth="1"/>
    <col min="15634" max="15634" width="3" style="814" customWidth="1"/>
    <col min="15635" max="15635" width="3.85546875" style="814" customWidth="1"/>
    <col min="15636" max="15636" width="4.35546875" style="814" customWidth="1"/>
    <col min="15637" max="15637" width="3.35546875" style="814" customWidth="1"/>
    <col min="15638" max="15638" width="4.85546875" style="814" customWidth="1"/>
    <col min="15639" max="15639" width="10.5703125" style="814" customWidth="1"/>
    <col min="15640" max="15640" width="7.0703125" style="814" customWidth="1"/>
    <col min="15641" max="15641" width="8.0703125" style="814" customWidth="1"/>
    <col min="15642" max="15642" width="7.5703125" style="814" customWidth="1"/>
    <col min="15643" max="15644" width="7.7109375" style="814" customWidth="1"/>
    <col min="15645" max="15645" width="7.0703125" style="814" customWidth="1"/>
    <col min="15646" max="15871" width="9.140625" style="814"/>
    <col min="15872" max="15872" width="4.35546875" style="814" customWidth="1"/>
    <col min="15873" max="15873" width="20.5703125" style="814" customWidth="1"/>
    <col min="15874" max="15874" width="12.35546875" style="814" customWidth="1"/>
    <col min="15875" max="15875" width="12.5703125" style="814" customWidth="1"/>
    <col min="15876" max="15876" width="3.85546875" style="814" customWidth="1"/>
    <col min="15877" max="15877" width="4.2109375" style="814" customWidth="1"/>
    <col min="15878" max="15878" width="4.0703125" style="814" customWidth="1"/>
    <col min="15879" max="15879" width="4" style="814" customWidth="1"/>
    <col min="15880" max="15880" width="16.35546875" style="814" customWidth="1"/>
    <col min="15881" max="15881" width="5.5703125" style="814" customWidth="1"/>
    <col min="15882" max="15882" width="8.7109375" style="814" customWidth="1"/>
    <col min="15883" max="15883" width="5.35546875" style="814" customWidth="1"/>
    <col min="15884" max="15884" width="4.35546875" style="814" customWidth="1"/>
    <col min="15885" max="15885" width="4.2109375" style="814" customWidth="1"/>
    <col min="15886" max="15886" width="3.0703125" style="814" customWidth="1"/>
    <col min="15887" max="15887" width="4.5703125" style="814" customWidth="1"/>
    <col min="15888" max="15888" width="4.35546875" style="814" customWidth="1"/>
    <col min="15889" max="15889" width="4" style="814" customWidth="1"/>
    <col min="15890" max="15890" width="3" style="814" customWidth="1"/>
    <col min="15891" max="15891" width="3.85546875" style="814" customWidth="1"/>
    <col min="15892" max="15892" width="4.35546875" style="814" customWidth="1"/>
    <col min="15893" max="15893" width="3.35546875" style="814" customWidth="1"/>
    <col min="15894" max="15894" width="4.85546875" style="814" customWidth="1"/>
    <col min="15895" max="15895" width="10.5703125" style="814" customWidth="1"/>
    <col min="15896" max="15896" width="7.0703125" style="814" customWidth="1"/>
    <col min="15897" max="15897" width="8.0703125" style="814" customWidth="1"/>
    <col min="15898" max="15898" width="7.5703125" style="814" customWidth="1"/>
    <col min="15899" max="15900" width="7.7109375" style="814" customWidth="1"/>
    <col min="15901" max="15901" width="7.0703125" style="814" customWidth="1"/>
    <col min="15902" max="16127" width="9.140625" style="814"/>
    <col min="16128" max="16128" width="4.35546875" style="814" customWidth="1"/>
    <col min="16129" max="16129" width="20.5703125" style="814" customWidth="1"/>
    <col min="16130" max="16130" width="12.35546875" style="814" customWidth="1"/>
    <col min="16131" max="16131" width="12.5703125" style="814" customWidth="1"/>
    <col min="16132" max="16132" width="3.85546875" style="814" customWidth="1"/>
    <col min="16133" max="16133" width="4.2109375" style="814" customWidth="1"/>
    <col min="16134" max="16134" width="4.0703125" style="814" customWidth="1"/>
    <col min="16135" max="16135" width="4" style="814" customWidth="1"/>
    <col min="16136" max="16136" width="16.35546875" style="814" customWidth="1"/>
    <col min="16137" max="16137" width="5.5703125" style="814" customWidth="1"/>
    <col min="16138" max="16138" width="8.7109375" style="814" customWidth="1"/>
    <col min="16139" max="16139" width="5.35546875" style="814" customWidth="1"/>
    <col min="16140" max="16140" width="4.35546875" style="814" customWidth="1"/>
    <col min="16141" max="16141" width="4.2109375" style="814" customWidth="1"/>
    <col min="16142" max="16142" width="3.0703125" style="814" customWidth="1"/>
    <col min="16143" max="16143" width="4.5703125" style="814" customWidth="1"/>
    <col min="16144" max="16144" width="4.35546875" style="814" customWidth="1"/>
    <col min="16145" max="16145" width="4" style="814" customWidth="1"/>
    <col min="16146" max="16146" width="3" style="814" customWidth="1"/>
    <col min="16147" max="16147" width="3.85546875" style="814" customWidth="1"/>
    <col min="16148" max="16148" width="4.35546875" style="814" customWidth="1"/>
    <col min="16149" max="16149" width="3.35546875" style="814" customWidth="1"/>
    <col min="16150" max="16150" width="4.85546875" style="814" customWidth="1"/>
    <col min="16151" max="16151" width="10.5703125" style="814" customWidth="1"/>
    <col min="16152" max="16152" width="7.0703125" style="814" customWidth="1"/>
    <col min="16153" max="16153" width="8.0703125" style="814" customWidth="1"/>
    <col min="16154" max="16154" width="7.5703125" style="814" customWidth="1"/>
    <col min="16155" max="16156" width="7.7109375" style="814" customWidth="1"/>
    <col min="16157" max="16157" width="7.0703125" style="814" customWidth="1"/>
    <col min="16158" max="16384" width="9.140625" style="814"/>
  </cols>
  <sheetData>
    <row r="1" spans="1:31">
      <c r="D1" s="3687" t="s">
        <v>186</v>
      </c>
      <c r="E1" s="3687"/>
      <c r="F1" s="3687"/>
      <c r="G1" s="3687"/>
      <c r="H1" s="3687"/>
      <c r="I1" s="3687"/>
      <c r="J1" s="3687"/>
      <c r="K1" s="3687"/>
      <c r="L1" s="3687"/>
      <c r="M1" s="3687"/>
      <c r="N1" s="3687"/>
      <c r="O1" s="3687"/>
      <c r="P1" s="3687"/>
      <c r="Q1" s="3687"/>
      <c r="R1" s="3687"/>
      <c r="S1" s="3687"/>
      <c r="T1" s="3687"/>
      <c r="U1" s="3687"/>
      <c r="V1" s="3687"/>
      <c r="W1" s="3687"/>
      <c r="X1" s="3687"/>
      <c r="Y1" s="3687"/>
      <c r="Z1" s="3687"/>
      <c r="AA1" s="3687"/>
      <c r="AB1" s="3687"/>
    </row>
    <row r="2" spans="1:31" ht="20.25" customHeight="1">
      <c r="D2" s="815" t="s">
        <v>0</v>
      </c>
      <c r="E2" s="814" t="s">
        <v>1</v>
      </c>
      <c r="G2" s="816" t="s">
        <v>238</v>
      </c>
      <c r="J2" s="817"/>
    </row>
    <row r="3" spans="1:31" ht="19.5" customHeight="1">
      <c r="D3" s="818" t="s">
        <v>2</v>
      </c>
      <c r="E3" s="818"/>
      <c r="F3" s="818"/>
      <c r="G3" s="818"/>
      <c r="H3" s="818"/>
      <c r="I3" s="818"/>
      <c r="J3" s="818"/>
      <c r="K3" s="818"/>
      <c r="L3" s="818"/>
      <c r="M3" s="818"/>
      <c r="N3" s="818"/>
      <c r="O3" s="818"/>
      <c r="P3" s="818"/>
      <c r="Q3" s="818"/>
      <c r="R3" s="818"/>
      <c r="S3" s="818"/>
      <c r="T3" s="818"/>
      <c r="U3" s="818"/>
      <c r="V3" s="818"/>
    </row>
    <row r="4" spans="1:31" ht="19.5" customHeight="1">
      <c r="D4" s="818" t="s">
        <v>187</v>
      </c>
      <c r="E4" s="818"/>
      <c r="F4" s="818"/>
      <c r="G4" s="818"/>
      <c r="H4" s="818"/>
      <c r="I4" s="818"/>
      <c r="J4" s="818"/>
      <c r="K4" s="818"/>
      <c r="R4" s="818"/>
      <c r="S4" s="818"/>
      <c r="T4" s="818"/>
      <c r="U4" s="818"/>
      <c r="V4" s="818"/>
    </row>
    <row r="5" spans="1:31" ht="19.5" customHeight="1">
      <c r="D5" s="815" t="s">
        <v>188</v>
      </c>
      <c r="E5" s="818"/>
      <c r="F5" s="818"/>
      <c r="G5" s="818"/>
      <c r="H5" s="818"/>
      <c r="I5" s="818"/>
      <c r="J5" s="818"/>
      <c r="K5" s="818" t="s">
        <v>3</v>
      </c>
      <c r="M5" s="438" t="s">
        <v>37</v>
      </c>
      <c r="N5" s="431" t="s">
        <v>11</v>
      </c>
      <c r="O5" s="433" t="s">
        <v>22</v>
      </c>
      <c r="P5" s="433" t="s">
        <v>23</v>
      </c>
      <c r="Q5" s="433" t="s">
        <v>24</v>
      </c>
      <c r="R5" s="433" t="s">
        <v>25</v>
      </c>
      <c r="S5" s="433" t="s">
        <v>26</v>
      </c>
      <c r="T5" s="433" t="s">
        <v>27</v>
      </c>
      <c r="U5" s="433" t="s">
        <v>28</v>
      </c>
      <c r="V5" s="433" t="s">
        <v>29</v>
      </c>
      <c r="W5" s="433" t="s">
        <v>30</v>
      </c>
      <c r="X5" s="433" t="s">
        <v>31</v>
      </c>
      <c r="Y5" s="433" t="s">
        <v>32</v>
      </c>
      <c r="Z5" s="433" t="s">
        <v>33</v>
      </c>
      <c r="AA5" s="2053" t="s">
        <v>2287</v>
      </c>
      <c r="AB5" s="2053" t="s">
        <v>2288</v>
      </c>
      <c r="AC5" s="2053" t="s">
        <v>2289</v>
      </c>
      <c r="AD5" s="2053" t="s">
        <v>2290</v>
      </c>
      <c r="AE5" s="2053" t="s">
        <v>2291</v>
      </c>
    </row>
    <row r="6" spans="1:31" ht="19.5" customHeight="1">
      <c r="D6" s="818" t="s">
        <v>4</v>
      </c>
      <c r="E6" s="818"/>
      <c r="F6" s="818"/>
      <c r="G6" s="818" t="s">
        <v>5</v>
      </c>
      <c r="H6" s="818"/>
      <c r="I6" s="818"/>
      <c r="J6" s="818"/>
      <c r="K6" s="818"/>
      <c r="M6" s="2873">
        <v>12</v>
      </c>
      <c r="N6" s="432">
        <f>SUM(N8:N95)</f>
        <v>6220556</v>
      </c>
      <c r="O6" s="432">
        <f>O11+O13+O15+O20+O31+O43+O46+O61+O66+O70+O74+O80</f>
        <v>0</v>
      </c>
      <c r="P6" s="432">
        <f t="shared" ref="P6:Z6" si="0">P11+P13+P15+P20+P31+P43+P46+P61+P66+P70+P74+P80</f>
        <v>0</v>
      </c>
      <c r="Q6" s="432">
        <f t="shared" si="0"/>
        <v>299020</v>
      </c>
      <c r="R6" s="432">
        <f t="shared" si="0"/>
        <v>3090000</v>
      </c>
      <c r="S6" s="432">
        <f t="shared" si="0"/>
        <v>847200</v>
      </c>
      <c r="T6" s="432">
        <f t="shared" si="0"/>
        <v>774220</v>
      </c>
      <c r="U6" s="432">
        <f t="shared" si="0"/>
        <v>667500</v>
      </c>
      <c r="V6" s="432">
        <f t="shared" si="0"/>
        <v>277696</v>
      </c>
      <c r="W6" s="432">
        <f t="shared" si="0"/>
        <v>175200</v>
      </c>
      <c r="X6" s="432">
        <f t="shared" si="0"/>
        <v>54420</v>
      </c>
      <c r="Y6" s="432">
        <f t="shared" si="0"/>
        <v>35300</v>
      </c>
      <c r="Z6" s="432">
        <f t="shared" si="0"/>
        <v>0</v>
      </c>
      <c r="AA6" s="2058">
        <f>N11+N13+N15+N43+N61+N66+N70+N74</f>
        <v>94480</v>
      </c>
      <c r="AB6" s="2058"/>
      <c r="AC6" s="2059"/>
      <c r="AD6" s="2058"/>
      <c r="AE6" s="2058">
        <f>N20+N31+N46+N80</f>
        <v>6126076</v>
      </c>
    </row>
    <row r="7" spans="1:31" ht="19.5" customHeight="1">
      <c r="D7" s="819"/>
      <c r="E7" s="818"/>
      <c r="F7" s="818"/>
      <c r="G7" s="820" t="s">
        <v>3</v>
      </c>
      <c r="H7" s="818"/>
      <c r="I7" s="818"/>
      <c r="J7" s="818"/>
      <c r="K7" s="818"/>
      <c r="M7" s="436"/>
      <c r="N7" s="434"/>
      <c r="O7" s="435"/>
      <c r="P7" s="435"/>
      <c r="Q7" s="435">
        <f>O6+P6+Q6</f>
        <v>299020</v>
      </c>
      <c r="R7" s="435"/>
      <c r="S7" s="435"/>
      <c r="T7" s="435">
        <f>R6+S6+T6</f>
        <v>4711420</v>
      </c>
      <c r="U7" s="435"/>
      <c r="V7" s="435"/>
      <c r="W7" s="435">
        <f>U6+V6+W6</f>
        <v>1120396</v>
      </c>
      <c r="X7" s="435"/>
      <c r="Y7" s="435"/>
      <c r="Z7" s="435">
        <f>X6+Y6+Z6</f>
        <v>89720</v>
      </c>
    </row>
    <row r="8" spans="1:31" ht="25.5" customHeight="1">
      <c r="A8" s="821" t="s">
        <v>34</v>
      </c>
      <c r="B8" s="822"/>
      <c r="C8" s="823"/>
      <c r="D8" s="3688" t="s">
        <v>6</v>
      </c>
      <c r="E8" s="3691" t="s">
        <v>7</v>
      </c>
      <c r="F8" s="3691" t="s">
        <v>8</v>
      </c>
      <c r="G8" s="3691" t="s">
        <v>9</v>
      </c>
      <c r="H8" s="3694" t="s">
        <v>10</v>
      </c>
      <c r="I8" s="3695"/>
      <c r="J8" s="3695"/>
      <c r="K8" s="3696"/>
      <c r="L8" s="3700" t="s">
        <v>11</v>
      </c>
      <c r="M8" s="3701"/>
      <c r="N8" s="3704" t="s">
        <v>12</v>
      </c>
      <c r="O8" s="3707" t="s">
        <v>13</v>
      </c>
      <c r="P8" s="3707"/>
      <c r="Q8" s="3707"/>
      <c r="R8" s="3707"/>
      <c r="S8" s="3707"/>
      <c r="T8" s="3707"/>
      <c r="U8" s="3707"/>
      <c r="V8" s="3707"/>
      <c r="W8" s="3707"/>
      <c r="X8" s="3707"/>
      <c r="Y8" s="3707"/>
      <c r="Z8" s="3707"/>
      <c r="AA8" s="3691" t="s">
        <v>14</v>
      </c>
      <c r="AB8" s="3708" t="s">
        <v>15</v>
      </c>
    </row>
    <row r="9" spans="1:31">
      <c r="A9" s="824"/>
      <c r="B9" s="825"/>
      <c r="C9" s="826"/>
      <c r="D9" s="3689"/>
      <c r="E9" s="3692"/>
      <c r="F9" s="3692"/>
      <c r="G9" s="3692"/>
      <c r="H9" s="3697"/>
      <c r="I9" s="3698"/>
      <c r="J9" s="3698"/>
      <c r="K9" s="3699"/>
      <c r="L9" s="3702"/>
      <c r="M9" s="3703"/>
      <c r="N9" s="3705"/>
      <c r="O9" s="3707" t="s">
        <v>16</v>
      </c>
      <c r="P9" s="3707"/>
      <c r="Q9" s="3707"/>
      <c r="R9" s="3707" t="s">
        <v>17</v>
      </c>
      <c r="S9" s="3707"/>
      <c r="T9" s="3707"/>
      <c r="U9" s="3707" t="s">
        <v>18</v>
      </c>
      <c r="V9" s="3707"/>
      <c r="W9" s="3707"/>
      <c r="X9" s="3707" t="s">
        <v>19</v>
      </c>
      <c r="Y9" s="3707"/>
      <c r="Z9" s="3707"/>
      <c r="AA9" s="3692"/>
      <c r="AB9" s="3708"/>
    </row>
    <row r="10" spans="1:31">
      <c r="A10" s="827" t="s">
        <v>36</v>
      </c>
      <c r="B10" s="827" t="s">
        <v>35</v>
      </c>
      <c r="C10" s="827" t="s">
        <v>37</v>
      </c>
      <c r="D10" s="3690"/>
      <c r="E10" s="3693"/>
      <c r="F10" s="3693"/>
      <c r="G10" s="3693"/>
      <c r="H10" s="828">
        <v>1</v>
      </c>
      <c r="I10" s="828">
        <v>2</v>
      </c>
      <c r="J10" s="828">
        <v>3</v>
      </c>
      <c r="K10" s="828">
        <v>4</v>
      </c>
      <c r="L10" s="829" t="s">
        <v>20</v>
      </c>
      <c r="M10" s="830" t="s">
        <v>21</v>
      </c>
      <c r="N10" s="3706"/>
      <c r="O10" s="831" t="s">
        <v>22</v>
      </c>
      <c r="P10" s="831" t="s">
        <v>23</v>
      </c>
      <c r="Q10" s="831" t="s">
        <v>24</v>
      </c>
      <c r="R10" s="831" t="s">
        <v>25</v>
      </c>
      <c r="S10" s="831" t="s">
        <v>26</v>
      </c>
      <c r="T10" s="831" t="s">
        <v>27</v>
      </c>
      <c r="U10" s="831" t="s">
        <v>28</v>
      </c>
      <c r="V10" s="831" t="s">
        <v>29</v>
      </c>
      <c r="W10" s="831" t="s">
        <v>30</v>
      </c>
      <c r="X10" s="831" t="s">
        <v>31</v>
      </c>
      <c r="Y10" s="831" t="s">
        <v>32</v>
      </c>
      <c r="Z10" s="831" t="s">
        <v>33</v>
      </c>
      <c r="AA10" s="3693"/>
      <c r="AB10" s="3708"/>
    </row>
    <row r="11" spans="1:31" ht="33" customHeight="1">
      <c r="A11" s="927">
        <v>1</v>
      </c>
      <c r="B11" s="927">
        <v>1</v>
      </c>
      <c r="C11" s="927">
        <v>1</v>
      </c>
      <c r="D11" s="934">
        <v>1</v>
      </c>
      <c r="E11" s="935" t="s">
        <v>537</v>
      </c>
      <c r="F11" s="1128"/>
      <c r="G11" s="1128"/>
      <c r="H11" s="1128"/>
      <c r="I11" s="1128"/>
      <c r="J11" s="1128"/>
      <c r="K11" s="1128"/>
      <c r="L11" s="1128"/>
      <c r="M11" s="1128"/>
      <c r="N11" s="931">
        <v>1800</v>
      </c>
      <c r="O11" s="937"/>
      <c r="P11" s="937"/>
      <c r="Q11" s="937"/>
      <c r="R11" s="1129"/>
      <c r="S11" s="937"/>
      <c r="T11" s="937">
        <v>1800</v>
      </c>
      <c r="U11" s="937"/>
      <c r="V11" s="937"/>
      <c r="W11" s="937"/>
      <c r="X11" s="937"/>
      <c r="Y11" s="937"/>
      <c r="Z11" s="937"/>
      <c r="AA11" s="933" t="s">
        <v>2985</v>
      </c>
      <c r="AB11" s="1130" t="s">
        <v>280</v>
      </c>
    </row>
    <row r="12" spans="1:31" ht="94.3" customHeight="1">
      <c r="A12" s="827"/>
      <c r="B12" s="827"/>
      <c r="C12" s="827"/>
      <c r="D12" s="841"/>
      <c r="E12" s="842"/>
      <c r="F12" s="837" t="s">
        <v>1902</v>
      </c>
      <c r="G12" s="838" t="s">
        <v>1901</v>
      </c>
      <c r="H12" s="829"/>
      <c r="I12" s="828" t="s">
        <v>539</v>
      </c>
      <c r="J12" s="829"/>
      <c r="K12" s="829"/>
      <c r="L12" s="837" t="s">
        <v>540</v>
      </c>
      <c r="M12" s="839">
        <v>1800</v>
      </c>
      <c r="N12" s="840"/>
      <c r="O12" s="843"/>
      <c r="P12" s="843"/>
      <c r="Q12" s="843"/>
      <c r="R12" s="828"/>
      <c r="S12" s="843"/>
      <c r="T12" s="843">
        <v>1800</v>
      </c>
      <c r="U12" s="843"/>
      <c r="V12" s="843"/>
      <c r="W12" s="843"/>
      <c r="X12" s="843"/>
      <c r="Y12" s="843"/>
      <c r="Z12" s="843"/>
      <c r="AA12" s="841" t="s">
        <v>541</v>
      </c>
      <c r="AB12" s="841" t="s">
        <v>542</v>
      </c>
    </row>
    <row r="13" spans="1:31" ht="16.75" customHeight="1">
      <c r="A13" s="927">
        <v>1</v>
      </c>
      <c r="B13" s="927">
        <v>1</v>
      </c>
      <c r="C13" s="927">
        <v>1</v>
      </c>
      <c r="D13" s="941">
        <v>2</v>
      </c>
      <c r="E13" s="928" t="s">
        <v>1904</v>
      </c>
      <c r="F13" s="1128"/>
      <c r="G13" s="1128"/>
      <c r="H13" s="1128"/>
      <c r="I13" s="1128"/>
      <c r="J13" s="1128"/>
      <c r="K13" s="1128"/>
      <c r="L13" s="1128"/>
      <c r="M13" s="1128"/>
      <c r="N13" s="931">
        <v>2880</v>
      </c>
      <c r="O13" s="932"/>
      <c r="P13" s="932"/>
      <c r="Q13" s="1131">
        <v>720</v>
      </c>
      <c r="R13" s="932"/>
      <c r="S13" s="932"/>
      <c r="T13" s="1131">
        <v>720</v>
      </c>
      <c r="U13" s="932"/>
      <c r="V13" s="1132">
        <v>720</v>
      </c>
      <c r="W13" s="1131"/>
      <c r="X13" s="1132">
        <v>720</v>
      </c>
      <c r="Y13" s="1133"/>
      <c r="Z13" s="932"/>
      <c r="AA13" s="933" t="s">
        <v>2985</v>
      </c>
      <c r="AB13" s="1130" t="s">
        <v>280</v>
      </c>
    </row>
    <row r="14" spans="1:31" ht="83.15" customHeight="1">
      <c r="A14" s="827"/>
      <c r="B14" s="827"/>
      <c r="C14" s="827"/>
      <c r="D14" s="841"/>
      <c r="E14" s="842"/>
      <c r="F14" s="842" t="s">
        <v>1719</v>
      </c>
      <c r="G14" s="838" t="s">
        <v>538</v>
      </c>
      <c r="H14" s="828" t="s">
        <v>539</v>
      </c>
      <c r="I14" s="828" t="s">
        <v>539</v>
      </c>
      <c r="J14" s="828" t="s">
        <v>539</v>
      </c>
      <c r="K14" s="828" t="s">
        <v>539</v>
      </c>
      <c r="L14" s="842" t="s">
        <v>543</v>
      </c>
      <c r="M14" s="840">
        <v>2880</v>
      </c>
      <c r="N14" s="840"/>
      <c r="O14" s="843"/>
      <c r="P14" s="843"/>
      <c r="Q14" s="843"/>
      <c r="R14" s="843"/>
      <c r="S14" s="843"/>
      <c r="T14" s="843"/>
      <c r="U14" s="843"/>
      <c r="V14" s="843"/>
      <c r="W14" s="843"/>
      <c r="X14" s="843"/>
      <c r="Y14" s="843"/>
      <c r="Z14" s="843"/>
      <c r="AA14" s="841" t="s">
        <v>541</v>
      </c>
      <c r="AB14" s="841" t="s">
        <v>280</v>
      </c>
    </row>
    <row r="15" spans="1:31">
      <c r="A15" s="927">
        <v>1</v>
      </c>
      <c r="B15" s="927">
        <v>1</v>
      </c>
      <c r="C15" s="927">
        <v>1</v>
      </c>
      <c r="D15" s="941">
        <v>3</v>
      </c>
      <c r="E15" s="928" t="s">
        <v>544</v>
      </c>
      <c r="F15" s="1128"/>
      <c r="G15" s="1128"/>
      <c r="H15" s="1128"/>
      <c r="I15" s="1128"/>
      <c r="J15" s="1128"/>
      <c r="K15" s="1128"/>
      <c r="L15" s="1128"/>
      <c r="M15" s="1128"/>
      <c r="N15" s="932">
        <v>18000</v>
      </c>
      <c r="O15" s="932"/>
      <c r="P15" s="932"/>
      <c r="Q15" s="1131">
        <v>4500</v>
      </c>
      <c r="R15" s="932"/>
      <c r="S15" s="1131"/>
      <c r="T15" s="1131">
        <v>4500</v>
      </c>
      <c r="U15" s="1131"/>
      <c r="V15" s="932"/>
      <c r="W15" s="1131">
        <v>4500</v>
      </c>
      <c r="X15" s="1131"/>
      <c r="Y15" s="1131">
        <v>4500</v>
      </c>
      <c r="Z15" s="932"/>
      <c r="AA15" s="933" t="s">
        <v>2985</v>
      </c>
      <c r="AB15" s="1130" t="s">
        <v>280</v>
      </c>
    </row>
    <row r="16" spans="1:31" ht="96.45" customHeight="1">
      <c r="A16" s="827"/>
      <c r="B16" s="827"/>
      <c r="C16" s="827"/>
      <c r="D16" s="832"/>
      <c r="E16" s="842"/>
      <c r="F16" s="842" t="s">
        <v>545</v>
      </c>
      <c r="G16" s="838" t="s">
        <v>546</v>
      </c>
      <c r="H16" s="828" t="s">
        <v>539</v>
      </c>
      <c r="I16" s="828" t="s">
        <v>539</v>
      </c>
      <c r="J16" s="828" t="s">
        <v>539</v>
      </c>
      <c r="K16" s="828" t="s">
        <v>539</v>
      </c>
      <c r="L16" s="842" t="s">
        <v>547</v>
      </c>
      <c r="M16" s="843">
        <v>12000</v>
      </c>
      <c r="N16" s="840"/>
      <c r="O16" s="840"/>
      <c r="P16" s="840"/>
      <c r="Q16" s="847"/>
      <c r="R16" s="847"/>
      <c r="S16" s="847"/>
      <c r="T16" s="847"/>
      <c r="U16" s="847"/>
      <c r="V16" s="847"/>
      <c r="W16" s="847"/>
      <c r="X16" s="847"/>
      <c r="Y16" s="840"/>
      <c r="Z16" s="840"/>
      <c r="AA16" s="842" t="s">
        <v>541</v>
      </c>
      <c r="AB16" s="841" t="s">
        <v>280</v>
      </c>
    </row>
    <row r="17" spans="1:28" ht="82.3">
      <c r="A17" s="827"/>
      <c r="B17" s="827"/>
      <c r="C17" s="827"/>
      <c r="D17" s="841"/>
      <c r="E17" s="842"/>
      <c r="F17" s="842" t="s">
        <v>548</v>
      </c>
      <c r="G17" s="842"/>
      <c r="H17" s="842"/>
      <c r="I17" s="842"/>
      <c r="J17" s="842"/>
      <c r="K17" s="842"/>
      <c r="L17" s="842" t="s">
        <v>549</v>
      </c>
      <c r="M17" s="846">
        <v>6000</v>
      </c>
      <c r="N17" s="840"/>
      <c r="O17" s="840"/>
      <c r="P17" s="840"/>
      <c r="Q17" s="840"/>
      <c r="R17" s="840"/>
      <c r="S17" s="840"/>
      <c r="T17" s="840"/>
      <c r="U17" s="840"/>
      <c r="V17" s="840"/>
      <c r="W17" s="840"/>
      <c r="X17" s="840"/>
      <c r="Y17" s="840"/>
      <c r="Z17" s="840"/>
      <c r="AA17" s="842"/>
      <c r="AB17" s="841"/>
    </row>
    <row r="18" spans="1:28" ht="102.9">
      <c r="A18" s="827"/>
      <c r="B18" s="827"/>
      <c r="C18" s="827"/>
      <c r="D18" s="841"/>
      <c r="E18" s="837"/>
      <c r="F18" s="842" t="s">
        <v>550</v>
      </c>
      <c r="G18" s="842"/>
      <c r="H18" s="842"/>
      <c r="I18" s="842"/>
      <c r="J18" s="842"/>
      <c r="K18" s="842"/>
      <c r="L18" s="841"/>
      <c r="M18" s="841"/>
      <c r="N18" s="830"/>
      <c r="O18" s="830"/>
      <c r="P18" s="830"/>
      <c r="Q18" s="830"/>
      <c r="R18" s="830"/>
      <c r="S18" s="830"/>
      <c r="T18" s="830"/>
      <c r="U18" s="830"/>
      <c r="V18" s="830"/>
      <c r="W18" s="830"/>
      <c r="X18" s="830"/>
      <c r="Y18" s="830"/>
      <c r="Z18" s="830"/>
      <c r="AA18" s="829"/>
      <c r="AB18" s="841"/>
    </row>
    <row r="19" spans="1:28" ht="21" customHeight="1">
      <c r="A19" s="827"/>
      <c r="B19" s="827"/>
      <c r="C19" s="827"/>
      <c r="D19" s="841"/>
      <c r="E19" s="842"/>
      <c r="F19" s="841"/>
      <c r="G19" s="841"/>
      <c r="H19" s="848"/>
      <c r="I19" s="829"/>
      <c r="J19" s="841"/>
      <c r="K19" s="829"/>
      <c r="L19" s="841"/>
      <c r="M19" s="840"/>
      <c r="N19" s="840"/>
      <c r="O19" s="843"/>
      <c r="P19" s="843"/>
      <c r="Q19" s="843"/>
      <c r="R19" s="843"/>
      <c r="S19" s="843"/>
      <c r="T19" s="843"/>
      <c r="U19" s="843"/>
      <c r="V19" s="843"/>
      <c r="W19" s="843"/>
      <c r="X19" s="843"/>
      <c r="Y19" s="843"/>
      <c r="Z19" s="843"/>
      <c r="AA19" s="841"/>
      <c r="AB19" s="841"/>
    </row>
    <row r="20" spans="1:28" ht="41.15" customHeight="1">
      <c r="A20" s="927">
        <v>1</v>
      </c>
      <c r="B20" s="927">
        <v>1</v>
      </c>
      <c r="C20" s="927">
        <v>1</v>
      </c>
      <c r="D20" s="941">
        <v>4</v>
      </c>
      <c r="E20" s="3684" t="s">
        <v>551</v>
      </c>
      <c r="F20" s="3685"/>
      <c r="G20" s="3686"/>
      <c r="H20" s="929"/>
      <c r="I20" s="929"/>
      <c r="J20" s="929"/>
      <c r="K20" s="929"/>
      <c r="L20" s="929"/>
      <c r="M20" s="937"/>
      <c r="N20" s="932">
        <f>SUM(M21:M30)</f>
        <v>2341800</v>
      </c>
      <c r="O20" s="937">
        <f>SUM(O21:O30)</f>
        <v>0</v>
      </c>
      <c r="P20" s="937">
        <f t="shared" ref="P20:Y20" si="1">SUM(P21:P30)</f>
        <v>0</v>
      </c>
      <c r="Q20" s="937">
        <f t="shared" si="1"/>
        <v>234000</v>
      </c>
      <c r="R20" s="937">
        <f t="shared" si="1"/>
        <v>474000</v>
      </c>
      <c r="S20" s="937">
        <f t="shared" si="1"/>
        <v>481500</v>
      </c>
      <c r="T20" s="937">
        <f t="shared" si="1"/>
        <v>481500</v>
      </c>
      <c r="U20" s="937">
        <f t="shared" si="1"/>
        <v>234000</v>
      </c>
      <c r="V20" s="937">
        <f t="shared" si="1"/>
        <v>234000</v>
      </c>
      <c r="W20" s="937">
        <f t="shared" si="1"/>
        <v>156000</v>
      </c>
      <c r="X20" s="937">
        <f t="shared" si="1"/>
        <v>46800</v>
      </c>
      <c r="Y20" s="937">
        <f t="shared" si="1"/>
        <v>0</v>
      </c>
      <c r="Z20" s="937"/>
      <c r="AA20" s="929" t="s">
        <v>552</v>
      </c>
      <c r="AB20" s="928" t="s">
        <v>553</v>
      </c>
    </row>
    <row r="21" spans="1:28" ht="270.45" customHeight="1">
      <c r="A21" s="827"/>
      <c r="B21" s="827"/>
      <c r="C21" s="827"/>
      <c r="D21" s="841"/>
      <c r="E21" s="849" t="s">
        <v>554</v>
      </c>
      <c r="F21" s="837" t="s">
        <v>555</v>
      </c>
      <c r="G21" s="838" t="s">
        <v>556</v>
      </c>
      <c r="H21" s="829" t="s">
        <v>239</v>
      </c>
      <c r="I21" s="829" t="s">
        <v>239</v>
      </c>
      <c r="J21" s="829" t="s">
        <v>239</v>
      </c>
      <c r="K21" s="829"/>
      <c r="L21" s="837" t="s">
        <v>557</v>
      </c>
      <c r="M21" s="846">
        <v>1560000</v>
      </c>
      <c r="N21" s="846"/>
      <c r="O21" s="850"/>
      <c r="P21" s="850"/>
      <c r="Q21" s="830">
        <v>234000</v>
      </c>
      <c r="R21" s="830">
        <v>234000</v>
      </c>
      <c r="S21" s="830">
        <v>234000</v>
      </c>
      <c r="T21" s="830">
        <v>234000</v>
      </c>
      <c r="U21" s="830">
        <v>234000</v>
      </c>
      <c r="V21" s="830">
        <v>234000</v>
      </c>
      <c r="W21" s="830">
        <v>156000</v>
      </c>
      <c r="X21" s="830"/>
      <c r="Y21" s="850"/>
      <c r="Z21" s="850"/>
      <c r="AA21" s="829" t="s">
        <v>558</v>
      </c>
      <c r="AB21" s="841"/>
    </row>
    <row r="22" spans="1:28" ht="267.45">
      <c r="A22" s="827"/>
      <c r="B22" s="827"/>
      <c r="C22" s="827"/>
      <c r="D22" s="841"/>
      <c r="E22" s="842" t="s">
        <v>559</v>
      </c>
      <c r="F22" s="851" t="s">
        <v>560</v>
      </c>
      <c r="G22" s="837" t="s">
        <v>561</v>
      </c>
      <c r="H22" s="829"/>
      <c r="I22" s="829" t="s">
        <v>239</v>
      </c>
      <c r="J22" s="829" t="s">
        <v>239</v>
      </c>
      <c r="K22" s="829"/>
      <c r="L22" s="837" t="s">
        <v>562</v>
      </c>
      <c r="M22" s="846">
        <v>200000</v>
      </c>
      <c r="N22" s="846"/>
      <c r="O22" s="850"/>
      <c r="P22" s="850"/>
      <c r="Q22" s="830"/>
      <c r="R22" s="830"/>
      <c r="S22" s="830">
        <v>100000</v>
      </c>
      <c r="T22" s="830">
        <v>100000</v>
      </c>
      <c r="U22" s="830"/>
      <c r="V22" s="830"/>
      <c r="W22" s="830"/>
      <c r="X22" s="830"/>
      <c r="Y22" s="850"/>
      <c r="Z22" s="850"/>
      <c r="AA22" s="829" t="s">
        <v>563</v>
      </c>
      <c r="AB22" s="841"/>
    </row>
    <row r="23" spans="1:28" ht="144">
      <c r="A23" s="827"/>
      <c r="B23" s="827"/>
      <c r="C23" s="827"/>
      <c r="D23" s="841"/>
      <c r="E23" s="852"/>
      <c r="F23" s="851" t="s">
        <v>564</v>
      </c>
      <c r="G23" s="852"/>
      <c r="H23" s="829"/>
      <c r="I23" s="829"/>
      <c r="J23" s="829"/>
      <c r="K23" s="829"/>
      <c r="L23" s="837" t="s">
        <v>565</v>
      </c>
      <c r="M23" s="846">
        <v>125000</v>
      </c>
      <c r="N23" s="839"/>
      <c r="O23" s="850"/>
      <c r="P23" s="850"/>
      <c r="Q23" s="830"/>
      <c r="R23" s="830"/>
      <c r="S23" s="830">
        <v>62500</v>
      </c>
      <c r="T23" s="830">
        <v>62500</v>
      </c>
      <c r="U23" s="830"/>
      <c r="V23" s="830"/>
      <c r="W23" s="830"/>
      <c r="X23" s="830"/>
      <c r="Y23" s="850"/>
      <c r="Z23" s="850"/>
      <c r="AA23" s="829"/>
      <c r="AB23" s="841"/>
    </row>
    <row r="24" spans="1:28" ht="82.3">
      <c r="A24" s="827"/>
      <c r="B24" s="827"/>
      <c r="C24" s="827"/>
      <c r="D24" s="832"/>
      <c r="E24" s="852"/>
      <c r="F24" s="852"/>
      <c r="G24" s="852"/>
      <c r="H24" s="829"/>
      <c r="I24" s="829"/>
      <c r="J24" s="829"/>
      <c r="K24" s="829"/>
      <c r="L24" s="837" t="s">
        <v>566</v>
      </c>
      <c r="M24" s="846">
        <v>90000</v>
      </c>
      <c r="N24" s="839"/>
      <c r="O24" s="850"/>
      <c r="P24" s="850"/>
      <c r="Q24" s="830"/>
      <c r="R24" s="830"/>
      <c r="S24" s="830">
        <v>45000</v>
      </c>
      <c r="T24" s="830">
        <v>45000</v>
      </c>
      <c r="U24" s="830"/>
      <c r="V24" s="830"/>
      <c r="W24" s="830"/>
      <c r="X24" s="830"/>
      <c r="Y24" s="850"/>
      <c r="Z24" s="850"/>
      <c r="AA24" s="829"/>
      <c r="AB24" s="841"/>
    </row>
    <row r="25" spans="1:28" ht="41.15">
      <c r="A25" s="827"/>
      <c r="B25" s="827"/>
      <c r="C25" s="827"/>
      <c r="D25" s="841"/>
      <c r="E25" s="853"/>
      <c r="F25" s="853"/>
      <c r="G25" s="853"/>
      <c r="H25" s="829"/>
      <c r="I25" s="829"/>
      <c r="J25" s="829"/>
      <c r="K25" s="829"/>
      <c r="L25" s="837" t="s">
        <v>567</v>
      </c>
      <c r="M25" s="846">
        <v>80000</v>
      </c>
      <c r="N25" s="839"/>
      <c r="O25" s="850"/>
      <c r="P25" s="850"/>
      <c r="Q25" s="830"/>
      <c r="R25" s="830"/>
      <c r="S25" s="830">
        <v>40000</v>
      </c>
      <c r="T25" s="830">
        <v>40000</v>
      </c>
      <c r="U25" s="830"/>
      <c r="V25" s="830"/>
      <c r="W25" s="830"/>
      <c r="X25" s="830"/>
      <c r="Y25" s="850"/>
      <c r="Z25" s="850"/>
      <c r="AA25" s="829"/>
      <c r="AB25" s="841"/>
    </row>
    <row r="26" spans="1:28" ht="164.6">
      <c r="A26" s="827"/>
      <c r="B26" s="827"/>
      <c r="C26" s="827"/>
      <c r="D26" s="832"/>
      <c r="E26" s="842" t="s">
        <v>568</v>
      </c>
      <c r="F26" s="851"/>
      <c r="G26" s="837" t="s">
        <v>569</v>
      </c>
      <c r="H26" s="829"/>
      <c r="I26" s="829"/>
      <c r="J26" s="829"/>
      <c r="K26" s="829" t="s">
        <v>239</v>
      </c>
      <c r="L26" s="837" t="s">
        <v>570</v>
      </c>
      <c r="M26" s="836">
        <v>20000</v>
      </c>
      <c r="N26" s="846"/>
      <c r="O26" s="850"/>
      <c r="P26" s="850"/>
      <c r="Q26" s="830"/>
      <c r="R26" s="830"/>
      <c r="S26" s="830"/>
      <c r="T26" s="830"/>
      <c r="U26" s="830"/>
      <c r="V26" s="830"/>
      <c r="W26" s="830"/>
      <c r="X26" s="830">
        <v>20000</v>
      </c>
      <c r="Y26" s="850"/>
      <c r="Z26" s="850"/>
      <c r="AA26" s="829" t="s">
        <v>563</v>
      </c>
      <c r="AB26" s="841"/>
    </row>
    <row r="27" spans="1:28" ht="82.3">
      <c r="A27" s="827"/>
      <c r="B27" s="827"/>
      <c r="C27" s="827"/>
      <c r="D27" s="841"/>
      <c r="E27" s="852"/>
      <c r="F27" s="852"/>
      <c r="G27" s="852"/>
      <c r="H27" s="829"/>
      <c r="I27" s="829"/>
      <c r="J27" s="829"/>
      <c r="K27" s="829"/>
      <c r="L27" s="837" t="s">
        <v>571</v>
      </c>
      <c r="M27" s="836">
        <v>12500</v>
      </c>
      <c r="N27" s="846"/>
      <c r="O27" s="850"/>
      <c r="P27" s="850"/>
      <c r="Q27" s="830"/>
      <c r="R27" s="830"/>
      <c r="S27" s="830"/>
      <c r="T27" s="830"/>
      <c r="U27" s="830"/>
      <c r="V27" s="830"/>
      <c r="W27" s="830"/>
      <c r="X27" s="830">
        <v>12500</v>
      </c>
      <c r="Y27" s="850"/>
      <c r="Z27" s="850"/>
      <c r="AA27" s="829"/>
      <c r="AB27" s="841"/>
    </row>
    <row r="28" spans="1:28" ht="87.45" customHeight="1">
      <c r="A28" s="827"/>
      <c r="B28" s="827"/>
      <c r="C28" s="827"/>
      <c r="D28" s="832"/>
      <c r="E28" s="852"/>
      <c r="F28" s="852"/>
      <c r="G28" s="852"/>
      <c r="H28" s="829"/>
      <c r="I28" s="829"/>
      <c r="J28" s="829"/>
      <c r="K28" s="829"/>
      <c r="L28" s="837" t="s">
        <v>572</v>
      </c>
      <c r="M28" s="836">
        <v>1800</v>
      </c>
      <c r="N28" s="846"/>
      <c r="O28" s="850"/>
      <c r="P28" s="850"/>
      <c r="Q28" s="830"/>
      <c r="R28" s="830"/>
      <c r="S28" s="830"/>
      <c r="T28" s="830"/>
      <c r="U28" s="830"/>
      <c r="V28" s="830"/>
      <c r="W28" s="830"/>
      <c r="X28" s="830">
        <v>1800</v>
      </c>
      <c r="Y28" s="850"/>
      <c r="Z28" s="850"/>
      <c r="AA28" s="829"/>
      <c r="AB28" s="841"/>
    </row>
    <row r="29" spans="1:28" ht="82.3">
      <c r="A29" s="827"/>
      <c r="B29" s="827"/>
      <c r="C29" s="827"/>
      <c r="D29" s="841"/>
      <c r="E29" s="853"/>
      <c r="F29" s="853"/>
      <c r="G29" s="853"/>
      <c r="H29" s="829"/>
      <c r="I29" s="829"/>
      <c r="J29" s="829"/>
      <c r="K29" s="829"/>
      <c r="L29" s="837" t="s">
        <v>573</v>
      </c>
      <c r="M29" s="836">
        <v>12500</v>
      </c>
      <c r="N29" s="846"/>
      <c r="O29" s="850"/>
      <c r="P29" s="850"/>
      <c r="Q29" s="830"/>
      <c r="R29" s="830"/>
      <c r="S29" s="830"/>
      <c r="T29" s="830"/>
      <c r="U29" s="830"/>
      <c r="V29" s="830"/>
      <c r="W29" s="830"/>
      <c r="X29" s="830">
        <v>12500</v>
      </c>
      <c r="Y29" s="850"/>
      <c r="Z29" s="850"/>
      <c r="AA29" s="829"/>
      <c r="AB29" s="841"/>
    </row>
    <row r="30" spans="1:28" ht="205.75">
      <c r="A30" s="827"/>
      <c r="B30" s="827"/>
      <c r="C30" s="827"/>
      <c r="D30" s="841"/>
      <c r="E30" s="854" t="s">
        <v>574</v>
      </c>
      <c r="F30" s="841"/>
      <c r="G30" s="842" t="s">
        <v>575</v>
      </c>
      <c r="H30" s="841"/>
      <c r="I30" s="841" t="s">
        <v>239</v>
      </c>
      <c r="J30" s="841"/>
      <c r="K30" s="841"/>
      <c r="L30" s="842" t="s">
        <v>576</v>
      </c>
      <c r="M30" s="846">
        <v>240000</v>
      </c>
      <c r="N30" s="846"/>
      <c r="O30" s="855"/>
      <c r="P30" s="855"/>
      <c r="Q30" s="840"/>
      <c r="R30" s="840">
        <v>240000</v>
      </c>
      <c r="S30" s="840"/>
      <c r="T30" s="840"/>
      <c r="U30" s="840"/>
      <c r="V30" s="840"/>
      <c r="W30" s="840"/>
      <c r="X30" s="840"/>
      <c r="Y30" s="855"/>
      <c r="Z30" s="855"/>
      <c r="AA30" s="829" t="s">
        <v>558</v>
      </c>
      <c r="AB30" s="841"/>
    </row>
    <row r="31" spans="1:28" ht="24.45" customHeight="1">
      <c r="A31" s="927"/>
      <c r="B31" s="927"/>
      <c r="C31" s="927"/>
      <c r="D31" s="941">
        <v>5</v>
      </c>
      <c r="E31" s="3709" t="s">
        <v>1903</v>
      </c>
      <c r="F31" s="3710"/>
      <c r="G31" s="3711"/>
      <c r="H31" s="929"/>
      <c r="I31" s="928"/>
      <c r="J31" s="928"/>
      <c r="K31" s="928"/>
      <c r="L31" s="928"/>
      <c r="M31" s="1134"/>
      <c r="N31" s="1134">
        <f>SUM(M32:M42)</f>
        <v>3339600</v>
      </c>
      <c r="O31" s="932">
        <f>SUM(O32:O42)</f>
        <v>0</v>
      </c>
      <c r="P31" s="932">
        <f t="shared" ref="P31:Z31" si="2">SUM(P32:P42)</f>
        <v>0</v>
      </c>
      <c r="Q31" s="932">
        <f t="shared" si="2"/>
        <v>0</v>
      </c>
      <c r="R31" s="932">
        <f t="shared" si="2"/>
        <v>2332500</v>
      </c>
      <c r="S31" s="932">
        <f t="shared" si="2"/>
        <v>350100</v>
      </c>
      <c r="T31" s="932">
        <f t="shared" si="2"/>
        <v>232500</v>
      </c>
      <c r="U31" s="932">
        <f t="shared" si="2"/>
        <v>424500</v>
      </c>
      <c r="V31" s="932">
        <f t="shared" si="2"/>
        <v>0</v>
      </c>
      <c r="W31" s="932">
        <f t="shared" si="2"/>
        <v>0</v>
      </c>
      <c r="X31" s="932">
        <f t="shared" si="2"/>
        <v>0</v>
      </c>
      <c r="Y31" s="932">
        <f t="shared" si="2"/>
        <v>0</v>
      </c>
      <c r="Z31" s="932">
        <f t="shared" si="2"/>
        <v>0</v>
      </c>
      <c r="AA31" s="928" t="s">
        <v>2986</v>
      </c>
      <c r="AB31" s="928" t="s">
        <v>591</v>
      </c>
    </row>
    <row r="32" spans="1:28" ht="135.44999999999999" customHeight="1">
      <c r="A32" s="827"/>
      <c r="B32" s="827"/>
      <c r="C32" s="827"/>
      <c r="D32" s="827"/>
      <c r="E32" s="856" t="s">
        <v>592</v>
      </c>
      <c r="F32" s="857" t="s">
        <v>593</v>
      </c>
      <c r="G32" s="848" t="s">
        <v>594</v>
      </c>
      <c r="H32" s="858"/>
      <c r="I32" s="829"/>
      <c r="J32" s="829" t="s">
        <v>239</v>
      </c>
      <c r="K32" s="829"/>
      <c r="L32" s="859" t="s">
        <v>595</v>
      </c>
      <c r="M32" s="847">
        <v>40000</v>
      </c>
      <c r="N32" s="847"/>
      <c r="O32" s="860"/>
      <c r="P32" s="860"/>
      <c r="Q32" s="843"/>
      <c r="R32" s="843"/>
      <c r="S32" s="843"/>
      <c r="T32" s="843"/>
      <c r="U32" s="843">
        <v>40000</v>
      </c>
      <c r="V32" s="843"/>
      <c r="W32" s="843"/>
      <c r="X32" s="843"/>
      <c r="Y32" s="860"/>
      <c r="Z32" s="860"/>
      <c r="AA32" s="841" t="s">
        <v>590</v>
      </c>
      <c r="AB32" s="841"/>
    </row>
    <row r="33" spans="1:28" ht="123.45">
      <c r="A33" s="827"/>
      <c r="B33" s="827"/>
      <c r="C33" s="827"/>
      <c r="D33" s="827"/>
      <c r="E33" s="852"/>
      <c r="F33" s="857" t="s">
        <v>596</v>
      </c>
      <c r="G33" s="852"/>
      <c r="H33" s="858"/>
      <c r="I33" s="829"/>
      <c r="J33" s="829"/>
      <c r="K33" s="829"/>
      <c r="L33" s="861" t="s">
        <v>597</v>
      </c>
      <c r="M33" s="847">
        <v>80000</v>
      </c>
      <c r="N33" s="847"/>
      <c r="O33" s="860"/>
      <c r="P33" s="860"/>
      <c r="Q33" s="843"/>
      <c r="R33" s="843"/>
      <c r="S33" s="843"/>
      <c r="T33" s="843"/>
      <c r="U33" s="843">
        <v>80000</v>
      </c>
      <c r="V33" s="843"/>
      <c r="W33" s="843"/>
      <c r="X33" s="843"/>
      <c r="Y33" s="860"/>
      <c r="Z33" s="860"/>
      <c r="AA33" s="841"/>
      <c r="AB33" s="841"/>
    </row>
    <row r="34" spans="1:28" ht="164.6">
      <c r="A34" s="827"/>
      <c r="B34" s="827"/>
      <c r="C34" s="827"/>
      <c r="D34" s="827"/>
      <c r="E34" s="852"/>
      <c r="F34" s="857" t="s">
        <v>598</v>
      </c>
      <c r="G34" s="852"/>
      <c r="H34" s="858"/>
      <c r="I34" s="829"/>
      <c r="J34" s="829"/>
      <c r="K34" s="829"/>
      <c r="L34" s="861" t="s">
        <v>599</v>
      </c>
      <c r="M34" s="847">
        <v>14400</v>
      </c>
      <c r="N34" s="847"/>
      <c r="O34" s="860"/>
      <c r="P34" s="860"/>
      <c r="Q34" s="843"/>
      <c r="R34" s="843"/>
      <c r="S34" s="843"/>
      <c r="T34" s="843"/>
      <c r="U34" s="843">
        <v>14400</v>
      </c>
      <c r="V34" s="843"/>
      <c r="W34" s="843"/>
      <c r="X34" s="843"/>
      <c r="Y34" s="860"/>
      <c r="Z34" s="860"/>
      <c r="AA34" s="841"/>
      <c r="AB34" s="841"/>
    </row>
    <row r="35" spans="1:28" ht="96.45" customHeight="1">
      <c r="A35" s="827"/>
      <c r="B35" s="827"/>
      <c r="C35" s="827"/>
      <c r="D35" s="827"/>
      <c r="E35" s="853"/>
      <c r="F35" s="857" t="s">
        <v>600</v>
      </c>
      <c r="G35" s="853"/>
      <c r="H35" s="858"/>
      <c r="I35" s="829"/>
      <c r="J35" s="829"/>
      <c r="K35" s="829"/>
      <c r="L35" s="861" t="s">
        <v>601</v>
      </c>
      <c r="M35" s="847">
        <v>57600</v>
      </c>
      <c r="N35" s="847"/>
      <c r="O35" s="860"/>
      <c r="P35" s="860"/>
      <c r="Q35" s="843"/>
      <c r="R35" s="843"/>
      <c r="S35" s="843"/>
      <c r="T35" s="843"/>
      <c r="U35" s="843">
        <v>57600</v>
      </c>
      <c r="V35" s="843"/>
      <c r="W35" s="843"/>
      <c r="X35" s="843"/>
      <c r="Y35" s="860"/>
      <c r="Z35" s="860"/>
      <c r="AA35" s="841"/>
      <c r="AB35" s="841"/>
    </row>
    <row r="36" spans="1:28" ht="144">
      <c r="A36" s="827"/>
      <c r="B36" s="827"/>
      <c r="C36" s="827"/>
      <c r="D36" s="827"/>
      <c r="E36" s="852" t="s">
        <v>602</v>
      </c>
      <c r="F36" s="852"/>
      <c r="G36" s="842" t="s">
        <v>603</v>
      </c>
      <c r="H36" s="858"/>
      <c r="I36" s="829" t="s">
        <v>239</v>
      </c>
      <c r="J36" s="841" t="s">
        <v>239</v>
      </c>
      <c r="K36" s="829"/>
      <c r="L36" s="862" t="s">
        <v>604</v>
      </c>
      <c r="M36" s="845">
        <v>250000</v>
      </c>
      <c r="N36" s="845"/>
      <c r="O36" s="860"/>
      <c r="P36" s="860"/>
      <c r="Q36" s="843"/>
      <c r="R36" s="843">
        <v>62500</v>
      </c>
      <c r="S36" s="843">
        <v>62500</v>
      </c>
      <c r="T36" s="843">
        <v>62500</v>
      </c>
      <c r="U36" s="843">
        <v>62500</v>
      </c>
      <c r="V36" s="843"/>
      <c r="W36" s="843"/>
      <c r="X36" s="843"/>
      <c r="Y36" s="860"/>
      <c r="Z36" s="860"/>
      <c r="AA36" s="841"/>
      <c r="AB36" s="841"/>
    </row>
    <row r="37" spans="1:28" ht="82.3">
      <c r="A37" s="827"/>
      <c r="B37" s="827"/>
      <c r="C37" s="827"/>
      <c r="D37" s="827"/>
      <c r="E37" s="853" t="s">
        <v>605</v>
      </c>
      <c r="F37" s="853"/>
      <c r="G37" s="852"/>
      <c r="H37" s="858"/>
      <c r="I37" s="829"/>
      <c r="J37" s="841"/>
      <c r="K37" s="829"/>
      <c r="L37" s="861" t="s">
        <v>606</v>
      </c>
      <c r="M37" s="845">
        <v>500000</v>
      </c>
      <c r="N37" s="836"/>
      <c r="O37" s="860"/>
      <c r="P37" s="860"/>
      <c r="Q37" s="843"/>
      <c r="R37" s="843">
        <v>125000</v>
      </c>
      <c r="S37" s="843">
        <v>125000</v>
      </c>
      <c r="T37" s="843">
        <v>125000</v>
      </c>
      <c r="U37" s="843">
        <v>125000</v>
      </c>
      <c r="V37" s="843"/>
      <c r="W37" s="843"/>
      <c r="X37" s="843"/>
      <c r="Y37" s="860"/>
      <c r="Z37" s="860"/>
      <c r="AA37" s="841"/>
      <c r="AB37" s="841"/>
    </row>
    <row r="38" spans="1:28" ht="82.3">
      <c r="A38" s="827"/>
      <c r="B38" s="827"/>
      <c r="C38" s="827"/>
      <c r="D38" s="827"/>
      <c r="E38" s="863"/>
      <c r="F38" s="842"/>
      <c r="G38" s="853"/>
      <c r="H38" s="858"/>
      <c r="I38" s="829"/>
      <c r="J38" s="841"/>
      <c r="K38" s="829"/>
      <c r="L38" s="861" t="s">
        <v>607</v>
      </c>
      <c r="M38" s="845">
        <v>180000</v>
      </c>
      <c r="N38" s="836"/>
      <c r="O38" s="860"/>
      <c r="P38" s="860"/>
      <c r="Q38" s="843"/>
      <c r="R38" s="843">
        <v>45000</v>
      </c>
      <c r="S38" s="843">
        <v>45000</v>
      </c>
      <c r="T38" s="843">
        <v>45000</v>
      </c>
      <c r="U38" s="843">
        <v>45000</v>
      </c>
      <c r="V38" s="843"/>
      <c r="W38" s="843"/>
      <c r="X38" s="843"/>
      <c r="Y38" s="860"/>
      <c r="Z38" s="860"/>
      <c r="AA38" s="841"/>
      <c r="AB38" s="841"/>
    </row>
    <row r="39" spans="1:28" ht="102.9">
      <c r="A39" s="827"/>
      <c r="B39" s="827"/>
      <c r="C39" s="827"/>
      <c r="D39" s="827"/>
      <c r="E39" s="849" t="s">
        <v>608</v>
      </c>
      <c r="F39" s="827"/>
      <c r="G39" s="864" t="s">
        <v>609</v>
      </c>
      <c r="H39" s="829"/>
      <c r="I39" s="829" t="s">
        <v>239</v>
      </c>
      <c r="J39" s="841"/>
      <c r="K39" s="841"/>
      <c r="L39" s="842" t="s">
        <v>610</v>
      </c>
      <c r="M39" s="847">
        <v>2100000</v>
      </c>
      <c r="N39" s="847"/>
      <c r="O39" s="860"/>
      <c r="P39" s="860"/>
      <c r="Q39" s="843"/>
      <c r="R39" s="843">
        <v>2100000</v>
      </c>
      <c r="S39" s="843"/>
      <c r="T39" s="843"/>
      <c r="U39" s="843"/>
      <c r="V39" s="843"/>
      <c r="W39" s="843"/>
      <c r="X39" s="843"/>
      <c r="Y39" s="860"/>
      <c r="Z39" s="860"/>
      <c r="AA39" s="841"/>
      <c r="AB39" s="841"/>
    </row>
    <row r="40" spans="1:28" ht="103.3" customHeight="1">
      <c r="A40" s="827"/>
      <c r="B40" s="827"/>
      <c r="C40" s="827"/>
      <c r="D40" s="827"/>
      <c r="E40" s="865" t="s">
        <v>611</v>
      </c>
      <c r="F40" s="866"/>
      <c r="G40" s="864" t="s">
        <v>612</v>
      </c>
      <c r="H40" s="829"/>
      <c r="I40" s="829" t="s">
        <v>239</v>
      </c>
      <c r="J40" s="841"/>
      <c r="K40" s="848"/>
      <c r="L40" s="842" t="s">
        <v>613</v>
      </c>
      <c r="M40" s="845">
        <v>20000</v>
      </c>
      <c r="N40" s="845"/>
      <c r="O40" s="860"/>
      <c r="P40" s="860"/>
      <c r="Q40" s="843"/>
      <c r="R40" s="843"/>
      <c r="S40" s="843">
        <v>20000</v>
      </c>
      <c r="T40" s="843"/>
      <c r="U40" s="843"/>
      <c r="V40" s="843"/>
      <c r="W40" s="843"/>
      <c r="X40" s="843"/>
      <c r="Y40" s="860"/>
      <c r="Z40" s="860"/>
      <c r="AA40" s="841"/>
      <c r="AB40" s="841"/>
    </row>
    <row r="41" spans="1:28" ht="55.75" customHeight="1">
      <c r="A41" s="827"/>
      <c r="B41" s="827"/>
      <c r="C41" s="827"/>
      <c r="D41" s="827"/>
      <c r="E41" s="852"/>
      <c r="F41" s="852"/>
      <c r="G41" s="852"/>
      <c r="H41" s="842"/>
      <c r="I41" s="842"/>
      <c r="J41" s="842"/>
      <c r="K41" s="842"/>
      <c r="L41" s="861" t="s">
        <v>614</v>
      </c>
      <c r="M41" s="845">
        <v>40000</v>
      </c>
      <c r="N41" s="836"/>
      <c r="O41" s="855"/>
      <c r="P41" s="855"/>
      <c r="Q41" s="840"/>
      <c r="R41" s="840"/>
      <c r="S41" s="840">
        <v>40000</v>
      </c>
      <c r="T41" s="840"/>
      <c r="U41" s="840"/>
      <c r="V41" s="840"/>
      <c r="W41" s="840"/>
      <c r="X41" s="840"/>
      <c r="Y41" s="855"/>
      <c r="Z41" s="855"/>
      <c r="AA41" s="842"/>
      <c r="AB41" s="841"/>
    </row>
    <row r="42" spans="1:28" ht="102.9">
      <c r="A42" s="827"/>
      <c r="B42" s="827"/>
      <c r="C42" s="827"/>
      <c r="D42" s="827"/>
      <c r="E42" s="853"/>
      <c r="F42" s="853"/>
      <c r="G42" s="853"/>
      <c r="H42" s="842"/>
      <c r="I42" s="842"/>
      <c r="J42" s="842"/>
      <c r="K42" s="842"/>
      <c r="L42" s="861" t="s">
        <v>615</v>
      </c>
      <c r="M42" s="845">
        <v>57600</v>
      </c>
      <c r="N42" s="836"/>
      <c r="O42" s="855"/>
      <c r="P42" s="855"/>
      <c r="Q42" s="840"/>
      <c r="R42" s="840"/>
      <c r="S42" s="840">
        <v>57600</v>
      </c>
      <c r="T42" s="840"/>
      <c r="U42" s="840"/>
      <c r="V42" s="840"/>
      <c r="W42" s="840"/>
      <c r="X42" s="840"/>
      <c r="Y42" s="855"/>
      <c r="Z42" s="855"/>
      <c r="AA42" s="842"/>
      <c r="AB42" s="841"/>
    </row>
    <row r="43" spans="1:28" ht="18.45" customHeight="1">
      <c r="A43" s="927"/>
      <c r="B43" s="927"/>
      <c r="C43" s="927"/>
      <c r="D43" s="941">
        <v>6</v>
      </c>
      <c r="E43" s="1135" t="s">
        <v>616</v>
      </c>
      <c r="F43" s="1136"/>
      <c r="G43" s="1137"/>
      <c r="H43" s="1138"/>
      <c r="I43" s="1138"/>
      <c r="J43" s="1138"/>
      <c r="K43" s="1138"/>
      <c r="L43" s="1138"/>
      <c r="M43" s="1139"/>
      <c r="N43" s="1140">
        <f>M44+M45</f>
        <v>7200</v>
      </c>
      <c r="O43" s="1139">
        <f>SUM(O44:O45)</f>
        <v>0</v>
      </c>
      <c r="P43" s="1139">
        <f t="shared" ref="P43:Z43" si="3">SUM(P44:P45)</f>
        <v>0</v>
      </c>
      <c r="Q43" s="1139">
        <f t="shared" si="3"/>
        <v>0</v>
      </c>
      <c r="R43" s="1139">
        <f t="shared" si="3"/>
        <v>0</v>
      </c>
      <c r="S43" s="1139">
        <f t="shared" si="3"/>
        <v>7200</v>
      </c>
      <c r="T43" s="1139">
        <f t="shared" si="3"/>
        <v>0</v>
      </c>
      <c r="U43" s="1139">
        <f t="shared" si="3"/>
        <v>0</v>
      </c>
      <c r="V43" s="1139">
        <f t="shared" si="3"/>
        <v>0</v>
      </c>
      <c r="W43" s="1139">
        <f t="shared" si="3"/>
        <v>0</v>
      </c>
      <c r="X43" s="1139">
        <f t="shared" si="3"/>
        <v>0</v>
      </c>
      <c r="Y43" s="1139">
        <f t="shared" si="3"/>
        <v>0</v>
      </c>
      <c r="Z43" s="1139">
        <f t="shared" si="3"/>
        <v>0</v>
      </c>
      <c r="AA43" s="1138" t="s">
        <v>2987</v>
      </c>
      <c r="AB43" s="927" t="s">
        <v>280</v>
      </c>
    </row>
    <row r="44" spans="1:28" ht="102.9">
      <c r="A44" s="827"/>
      <c r="B44" s="827"/>
      <c r="C44" s="827"/>
      <c r="D44" s="827"/>
      <c r="E44" s="867" t="s">
        <v>617</v>
      </c>
      <c r="F44" s="867" t="s">
        <v>618</v>
      </c>
      <c r="G44" s="867" t="s">
        <v>619</v>
      </c>
      <c r="H44" s="869"/>
      <c r="I44" s="869" t="s">
        <v>239</v>
      </c>
      <c r="J44" s="869"/>
      <c r="K44" s="869"/>
      <c r="L44" s="868" t="s">
        <v>620</v>
      </c>
      <c r="M44" s="872">
        <v>3000</v>
      </c>
      <c r="N44" s="873"/>
      <c r="O44" s="870"/>
      <c r="P44" s="870"/>
      <c r="Q44" s="870"/>
      <c r="R44" s="870"/>
      <c r="S44" s="871">
        <v>3000</v>
      </c>
      <c r="T44" s="870"/>
      <c r="U44" s="870"/>
      <c r="V44" s="870"/>
      <c r="W44" s="870"/>
      <c r="X44" s="870"/>
      <c r="Y44" s="870"/>
      <c r="Z44" s="870"/>
      <c r="AA44" s="869" t="s">
        <v>621</v>
      </c>
      <c r="AB44" s="827"/>
    </row>
    <row r="45" spans="1:28" ht="86.5" customHeight="1">
      <c r="A45" s="827"/>
      <c r="B45" s="827"/>
      <c r="C45" s="827"/>
      <c r="D45" s="827"/>
      <c r="E45" s="874"/>
      <c r="F45" s="867" t="s">
        <v>622</v>
      </c>
      <c r="G45" s="867"/>
      <c r="H45" s="869"/>
      <c r="I45" s="869"/>
      <c r="J45" s="869"/>
      <c r="K45" s="869"/>
      <c r="L45" s="868" t="s">
        <v>623</v>
      </c>
      <c r="M45" s="872">
        <v>4200</v>
      </c>
      <c r="N45" s="873"/>
      <c r="O45" s="870"/>
      <c r="P45" s="870"/>
      <c r="Q45" s="870"/>
      <c r="R45" s="870"/>
      <c r="S45" s="871">
        <v>4200</v>
      </c>
      <c r="T45" s="870"/>
      <c r="U45" s="870"/>
      <c r="V45" s="870"/>
      <c r="W45" s="870"/>
      <c r="X45" s="870"/>
      <c r="Y45" s="870"/>
      <c r="Z45" s="870"/>
      <c r="AA45" s="869"/>
      <c r="AB45" s="827"/>
    </row>
    <row r="46" spans="1:28" ht="38.25" customHeight="1">
      <c r="A46" s="927"/>
      <c r="B46" s="927"/>
      <c r="C46" s="927"/>
      <c r="D46" s="941">
        <v>7</v>
      </c>
      <c r="E46" s="1141" t="s">
        <v>624</v>
      </c>
      <c r="F46" s="1142"/>
      <c r="G46" s="1143"/>
      <c r="H46" s="929"/>
      <c r="I46" s="929"/>
      <c r="J46" s="929"/>
      <c r="K46" s="929"/>
      <c r="L46" s="929"/>
      <c r="M46" s="937"/>
      <c r="N46" s="1144">
        <f>M47+M48+M49+M50+M51+M52+M53+M54+M55+M56+M57+M58+M59+M60</f>
        <v>308176</v>
      </c>
      <c r="O46" s="937">
        <f>SUM(O47:O60)</f>
        <v>0</v>
      </c>
      <c r="P46" s="937">
        <f t="shared" ref="P46:W46" si="4">SUM(P47:P60)</f>
        <v>0</v>
      </c>
      <c r="Q46" s="937">
        <f t="shared" si="4"/>
        <v>7000</v>
      </c>
      <c r="R46" s="937">
        <f t="shared" si="4"/>
        <v>242400</v>
      </c>
      <c r="S46" s="937">
        <f t="shared" si="4"/>
        <v>0</v>
      </c>
      <c r="T46" s="937">
        <f t="shared" si="4"/>
        <v>0</v>
      </c>
      <c r="U46" s="937">
        <f t="shared" si="4"/>
        <v>0</v>
      </c>
      <c r="V46" s="937">
        <f t="shared" si="4"/>
        <v>33976</v>
      </c>
      <c r="W46" s="937">
        <f t="shared" si="4"/>
        <v>0</v>
      </c>
      <c r="X46" s="937">
        <f t="shared" ref="X46" si="5">SUM(X47:X60)</f>
        <v>0</v>
      </c>
      <c r="Y46" s="937">
        <f t="shared" ref="Y46" si="6">SUM(Y47:Y60)</f>
        <v>24800</v>
      </c>
      <c r="Z46" s="937"/>
      <c r="AA46" s="929" t="s">
        <v>2987</v>
      </c>
      <c r="AB46" s="928" t="s">
        <v>625</v>
      </c>
    </row>
    <row r="47" spans="1:28" ht="89.6" customHeight="1">
      <c r="A47" s="827"/>
      <c r="B47" s="827"/>
      <c r="C47" s="827"/>
      <c r="D47" s="827"/>
      <c r="E47" s="837" t="s">
        <v>626</v>
      </c>
      <c r="F47" s="837" t="s">
        <v>627</v>
      </c>
      <c r="G47" s="838" t="s">
        <v>628</v>
      </c>
      <c r="H47" s="829" t="s">
        <v>239</v>
      </c>
      <c r="I47" s="829" t="s">
        <v>239</v>
      </c>
      <c r="J47" s="829" t="s">
        <v>239</v>
      </c>
      <c r="K47" s="829"/>
      <c r="L47" s="837" t="s">
        <v>629</v>
      </c>
      <c r="M47" s="830">
        <v>2500</v>
      </c>
      <c r="N47" s="877"/>
      <c r="O47" s="830"/>
      <c r="P47" s="830"/>
      <c r="Q47" s="3712">
        <v>7000</v>
      </c>
      <c r="R47" s="830"/>
      <c r="S47" s="830"/>
      <c r="T47" s="830"/>
      <c r="U47" s="830"/>
      <c r="V47" s="830"/>
      <c r="W47" s="840"/>
      <c r="X47" s="830"/>
      <c r="Y47" s="840"/>
      <c r="Z47" s="830"/>
      <c r="AA47" s="829" t="s">
        <v>563</v>
      </c>
      <c r="AB47" s="841" t="s">
        <v>625</v>
      </c>
    </row>
    <row r="48" spans="1:28" ht="50.25" customHeight="1">
      <c r="A48" s="827"/>
      <c r="B48" s="827"/>
      <c r="C48" s="827"/>
      <c r="D48" s="827"/>
      <c r="E48" s="837"/>
      <c r="F48" s="837"/>
      <c r="G48" s="838"/>
      <c r="H48" s="829"/>
      <c r="I48" s="829"/>
      <c r="J48" s="829"/>
      <c r="K48" s="829"/>
      <c r="L48" s="837" t="s">
        <v>630</v>
      </c>
      <c r="M48" s="830">
        <v>3500</v>
      </c>
      <c r="N48" s="877"/>
      <c r="O48" s="830"/>
      <c r="P48" s="830"/>
      <c r="Q48" s="3713"/>
      <c r="R48" s="830"/>
      <c r="S48" s="830"/>
      <c r="T48" s="830"/>
      <c r="U48" s="830"/>
      <c r="V48" s="830"/>
      <c r="W48" s="840"/>
      <c r="X48" s="830"/>
      <c r="Y48" s="840"/>
      <c r="Z48" s="830"/>
      <c r="AA48" s="829"/>
      <c r="AB48" s="841"/>
    </row>
    <row r="49" spans="1:28" ht="50.25" customHeight="1">
      <c r="A49" s="827"/>
      <c r="B49" s="827"/>
      <c r="C49" s="827"/>
      <c r="D49" s="827"/>
      <c r="E49" s="837"/>
      <c r="F49" s="837"/>
      <c r="G49" s="838"/>
      <c r="H49" s="829"/>
      <c r="I49" s="829"/>
      <c r="J49" s="829"/>
      <c r="K49" s="829"/>
      <c r="L49" s="837" t="s">
        <v>631</v>
      </c>
      <c r="M49" s="830">
        <v>1000</v>
      </c>
      <c r="N49" s="877"/>
      <c r="O49" s="830"/>
      <c r="P49" s="830"/>
      <c r="Q49" s="3714"/>
      <c r="R49" s="830"/>
      <c r="S49" s="830"/>
      <c r="T49" s="830"/>
      <c r="U49" s="830"/>
      <c r="V49" s="830"/>
      <c r="W49" s="840"/>
      <c r="X49" s="830"/>
      <c r="Y49" s="840"/>
      <c r="Z49" s="830"/>
      <c r="AA49" s="829"/>
      <c r="AB49" s="841"/>
    </row>
    <row r="50" spans="1:28" ht="68.5" customHeight="1">
      <c r="A50" s="827"/>
      <c r="B50" s="827"/>
      <c r="C50" s="827"/>
      <c r="D50" s="827"/>
      <c r="E50" s="837" t="s">
        <v>632</v>
      </c>
      <c r="F50" s="837" t="s">
        <v>633</v>
      </c>
      <c r="G50" s="838" t="s">
        <v>634</v>
      </c>
      <c r="H50" s="829"/>
      <c r="I50" s="829"/>
      <c r="J50" s="829"/>
      <c r="K50" s="829"/>
      <c r="L50" s="837" t="s">
        <v>635</v>
      </c>
      <c r="M50" s="830">
        <v>20000</v>
      </c>
      <c r="N50" s="877"/>
      <c r="O50" s="830"/>
      <c r="P50" s="830"/>
      <c r="Q50" s="878"/>
      <c r="R50" s="3715">
        <f>M50+M51+M52</f>
        <v>62400</v>
      </c>
      <c r="S50" s="830"/>
      <c r="T50" s="830"/>
      <c r="U50" s="830"/>
      <c r="V50" s="830"/>
      <c r="W50" s="840"/>
      <c r="X50" s="830"/>
      <c r="Y50" s="840"/>
      <c r="Z50" s="830"/>
      <c r="AA50" s="829"/>
      <c r="AB50" s="841"/>
    </row>
    <row r="51" spans="1:28" ht="50.25" customHeight="1">
      <c r="A51" s="827"/>
      <c r="B51" s="827"/>
      <c r="C51" s="827"/>
      <c r="D51" s="827"/>
      <c r="E51" s="837"/>
      <c r="F51" s="837"/>
      <c r="G51" s="838"/>
      <c r="H51" s="829"/>
      <c r="I51" s="829"/>
      <c r="J51" s="829"/>
      <c r="K51" s="829"/>
      <c r="L51" s="837" t="s">
        <v>636</v>
      </c>
      <c r="M51" s="830">
        <v>28000</v>
      </c>
      <c r="N51" s="877"/>
      <c r="O51" s="830"/>
      <c r="P51" s="830"/>
      <c r="Q51" s="878"/>
      <c r="R51" s="3716"/>
      <c r="S51" s="830"/>
      <c r="T51" s="830"/>
      <c r="U51" s="830"/>
      <c r="V51" s="830"/>
      <c r="W51" s="840"/>
      <c r="X51" s="830"/>
      <c r="Y51" s="840"/>
      <c r="Z51" s="830"/>
      <c r="AA51" s="829"/>
      <c r="AB51" s="841"/>
    </row>
    <row r="52" spans="1:28" ht="50.25" customHeight="1">
      <c r="A52" s="827"/>
      <c r="B52" s="827"/>
      <c r="C52" s="827"/>
      <c r="D52" s="827"/>
      <c r="E52" s="837"/>
      <c r="F52" s="837"/>
      <c r="G52" s="838"/>
      <c r="H52" s="829"/>
      <c r="I52" s="829"/>
      <c r="J52" s="829"/>
      <c r="K52" s="829"/>
      <c r="L52" s="837" t="s">
        <v>637</v>
      </c>
      <c r="M52" s="830">
        <f>3600*4</f>
        <v>14400</v>
      </c>
      <c r="N52" s="877"/>
      <c r="O52" s="830"/>
      <c r="P52" s="830"/>
      <c r="Q52" s="878"/>
      <c r="R52" s="3717"/>
      <c r="S52" s="830"/>
      <c r="T52" s="830"/>
      <c r="U52" s="830"/>
      <c r="V52" s="830"/>
      <c r="W52" s="840"/>
      <c r="X52" s="830"/>
      <c r="Y52" s="840"/>
      <c r="Z52" s="830"/>
      <c r="AA52" s="829"/>
      <c r="AB52" s="841"/>
    </row>
    <row r="53" spans="1:28" ht="88.5" customHeight="1">
      <c r="A53" s="827"/>
      <c r="B53" s="827"/>
      <c r="C53" s="827"/>
      <c r="D53" s="827"/>
      <c r="E53" s="837" t="s">
        <v>638</v>
      </c>
      <c r="F53" s="837" t="s">
        <v>639</v>
      </c>
      <c r="G53" s="838" t="s">
        <v>640</v>
      </c>
      <c r="H53" s="829"/>
      <c r="I53" s="829" t="s">
        <v>239</v>
      </c>
      <c r="J53" s="829" t="s">
        <v>239</v>
      </c>
      <c r="K53" s="829"/>
      <c r="L53" s="837" t="s">
        <v>641</v>
      </c>
      <c r="M53" s="839">
        <f>1500*50</f>
        <v>75000</v>
      </c>
      <c r="N53" s="875"/>
      <c r="O53" s="830"/>
      <c r="P53" s="830"/>
      <c r="Q53" s="830"/>
      <c r="R53" s="3704">
        <f>M53+M54</f>
        <v>180000</v>
      </c>
      <c r="S53" s="830"/>
      <c r="T53" s="830"/>
      <c r="U53" s="830"/>
      <c r="V53" s="830"/>
      <c r="W53" s="840"/>
      <c r="X53" s="830"/>
      <c r="Y53" s="840"/>
      <c r="Z53" s="830"/>
      <c r="AA53" s="841"/>
      <c r="AB53" s="841"/>
    </row>
    <row r="54" spans="1:28" ht="70.5" customHeight="1">
      <c r="A54" s="827"/>
      <c r="B54" s="827"/>
      <c r="C54" s="827"/>
      <c r="D54" s="827"/>
      <c r="E54" s="837"/>
      <c r="F54" s="837"/>
      <c r="G54" s="837"/>
      <c r="H54" s="829"/>
      <c r="I54" s="829"/>
      <c r="J54" s="829"/>
      <c r="K54" s="829"/>
      <c r="L54" s="837" t="s">
        <v>642</v>
      </c>
      <c r="M54" s="830">
        <f>1500*70</f>
        <v>105000</v>
      </c>
      <c r="N54" s="875"/>
      <c r="O54" s="830"/>
      <c r="P54" s="830"/>
      <c r="Q54" s="830"/>
      <c r="R54" s="3706"/>
      <c r="S54" s="830"/>
      <c r="T54" s="830"/>
      <c r="U54" s="830"/>
      <c r="V54" s="830"/>
      <c r="W54" s="840"/>
      <c r="X54" s="830"/>
      <c r="Y54" s="830"/>
      <c r="Z54" s="830"/>
      <c r="AA54" s="841"/>
      <c r="AB54" s="841"/>
    </row>
    <row r="55" spans="1:28" ht="51" customHeight="1">
      <c r="A55" s="827"/>
      <c r="B55" s="827"/>
      <c r="C55" s="827"/>
      <c r="D55" s="827"/>
      <c r="E55" s="842" t="s">
        <v>643</v>
      </c>
      <c r="F55" s="842" t="s">
        <v>644</v>
      </c>
      <c r="G55" s="3718" t="s">
        <v>645</v>
      </c>
      <c r="H55" s="848"/>
      <c r="I55" s="829"/>
      <c r="J55" s="829" t="s">
        <v>239</v>
      </c>
      <c r="K55" s="829"/>
      <c r="L55" s="842" t="s">
        <v>646</v>
      </c>
      <c r="M55" s="879">
        <v>21000</v>
      </c>
      <c r="N55" s="840"/>
      <c r="O55" s="843"/>
      <c r="P55" s="843"/>
      <c r="Q55" s="843"/>
      <c r="R55" s="843"/>
      <c r="S55" s="843"/>
      <c r="T55" s="843"/>
      <c r="U55" s="843"/>
      <c r="V55" s="3720">
        <f>M56+M55</f>
        <v>33976</v>
      </c>
      <c r="W55" s="840"/>
      <c r="X55" s="843"/>
      <c r="Y55" s="843"/>
      <c r="Z55" s="843"/>
      <c r="AA55" s="827"/>
      <c r="AB55" s="827"/>
    </row>
    <row r="56" spans="1:28" ht="81" customHeight="1">
      <c r="A56" s="827"/>
      <c r="B56" s="827"/>
      <c r="C56" s="827"/>
      <c r="D56" s="827"/>
      <c r="E56" s="842"/>
      <c r="F56" s="842" t="s">
        <v>647</v>
      </c>
      <c r="G56" s="3719"/>
      <c r="H56" s="829"/>
      <c r="I56" s="841"/>
      <c r="J56" s="829"/>
      <c r="K56" s="841"/>
      <c r="L56" s="841" t="s">
        <v>648</v>
      </c>
      <c r="M56" s="879">
        <f>17776-4800</f>
        <v>12976</v>
      </c>
      <c r="N56" s="840"/>
      <c r="O56" s="843"/>
      <c r="P56" s="843"/>
      <c r="Q56" s="843"/>
      <c r="R56" s="843"/>
      <c r="S56" s="843"/>
      <c r="T56" s="843"/>
      <c r="U56" s="843"/>
      <c r="V56" s="3721"/>
      <c r="W56" s="843"/>
      <c r="X56" s="843"/>
      <c r="Y56" s="843"/>
      <c r="Z56" s="843"/>
      <c r="AA56" s="827"/>
      <c r="AB56" s="827"/>
    </row>
    <row r="57" spans="1:28" ht="137.05000000000001" customHeight="1">
      <c r="A57" s="827"/>
      <c r="B57" s="827"/>
      <c r="C57" s="827"/>
      <c r="D57" s="827"/>
      <c r="E57" s="842" t="s">
        <v>649</v>
      </c>
      <c r="F57" s="842" t="s">
        <v>650</v>
      </c>
      <c r="G57" s="838" t="s">
        <v>651</v>
      </c>
      <c r="H57" s="841"/>
      <c r="I57" s="829"/>
      <c r="J57" s="841"/>
      <c r="K57" s="829" t="s">
        <v>239</v>
      </c>
      <c r="L57" s="842" t="s">
        <v>652</v>
      </c>
      <c r="M57" s="879">
        <v>5000</v>
      </c>
      <c r="N57" s="840"/>
      <c r="O57" s="843"/>
      <c r="P57" s="843"/>
      <c r="Q57" s="876"/>
      <c r="R57" s="843"/>
      <c r="S57" s="843"/>
      <c r="T57" s="843"/>
      <c r="U57" s="843"/>
      <c r="V57" s="843"/>
      <c r="W57" s="843"/>
      <c r="X57" s="843"/>
      <c r="Y57" s="3722">
        <f>M57+M58+M59+M60</f>
        <v>24800</v>
      </c>
      <c r="Z57" s="843"/>
      <c r="AA57" s="827"/>
      <c r="AB57" s="827"/>
    </row>
    <row r="58" spans="1:28" ht="57.45" customHeight="1">
      <c r="A58" s="827"/>
      <c r="B58" s="827"/>
      <c r="C58" s="827"/>
      <c r="D58" s="827"/>
      <c r="E58" s="842"/>
      <c r="F58" s="841"/>
      <c r="G58" s="841"/>
      <c r="H58" s="841"/>
      <c r="I58" s="841"/>
      <c r="J58" s="841"/>
      <c r="K58" s="829"/>
      <c r="L58" s="837" t="s">
        <v>653</v>
      </c>
      <c r="M58" s="876">
        <v>7000</v>
      </c>
      <c r="N58" s="840"/>
      <c r="O58" s="843"/>
      <c r="P58" s="843"/>
      <c r="Q58" s="843"/>
      <c r="R58" s="843"/>
      <c r="S58" s="843"/>
      <c r="T58" s="843"/>
      <c r="U58" s="843"/>
      <c r="V58" s="843"/>
      <c r="W58" s="843"/>
      <c r="X58" s="843"/>
      <c r="Y58" s="3723"/>
      <c r="Z58" s="843"/>
      <c r="AA58" s="827"/>
      <c r="AB58" s="827"/>
    </row>
    <row r="59" spans="1:28" ht="76.5" customHeight="1">
      <c r="A59" s="827"/>
      <c r="B59" s="827"/>
      <c r="C59" s="827"/>
      <c r="D59" s="827"/>
      <c r="E59" s="842"/>
      <c r="F59" s="841"/>
      <c r="G59" s="841"/>
      <c r="H59" s="841"/>
      <c r="I59" s="841"/>
      <c r="J59" s="841"/>
      <c r="K59" s="829"/>
      <c r="L59" s="837" t="s">
        <v>654</v>
      </c>
      <c r="M59" s="876">
        <v>4800</v>
      </c>
      <c r="N59" s="840"/>
      <c r="O59" s="843"/>
      <c r="P59" s="843"/>
      <c r="Q59" s="843"/>
      <c r="R59" s="843"/>
      <c r="S59" s="843"/>
      <c r="T59" s="843"/>
      <c r="U59" s="843"/>
      <c r="V59" s="843"/>
      <c r="W59" s="843"/>
      <c r="X59" s="843"/>
      <c r="Y59" s="3723"/>
      <c r="Z59" s="843"/>
      <c r="AA59" s="827"/>
      <c r="AB59" s="827"/>
    </row>
    <row r="60" spans="1:28" ht="42" customHeight="1">
      <c r="A60" s="827"/>
      <c r="B60" s="827"/>
      <c r="C60" s="827"/>
      <c r="D60" s="827"/>
      <c r="E60" s="842"/>
      <c r="F60" s="841"/>
      <c r="G60" s="841"/>
      <c r="H60" s="841"/>
      <c r="I60" s="841"/>
      <c r="J60" s="841"/>
      <c r="K60" s="829"/>
      <c r="L60" s="837" t="s">
        <v>655</v>
      </c>
      <c r="M60" s="876">
        <v>8000</v>
      </c>
      <c r="N60" s="840"/>
      <c r="O60" s="843"/>
      <c r="P60" s="843"/>
      <c r="Q60" s="843"/>
      <c r="R60" s="843"/>
      <c r="S60" s="843"/>
      <c r="T60" s="843"/>
      <c r="U60" s="843"/>
      <c r="V60" s="843"/>
      <c r="W60" s="843"/>
      <c r="X60" s="843"/>
      <c r="Y60" s="3723"/>
      <c r="Z60" s="843"/>
      <c r="AA60" s="827"/>
      <c r="AB60" s="827"/>
    </row>
    <row r="61" spans="1:28" ht="33.9" customHeight="1">
      <c r="A61" s="927"/>
      <c r="B61" s="927"/>
      <c r="C61" s="927"/>
      <c r="D61" s="941">
        <v>8</v>
      </c>
      <c r="E61" s="1145" t="s">
        <v>1720</v>
      </c>
      <c r="F61" s="928"/>
      <c r="G61" s="928"/>
      <c r="H61" s="928"/>
      <c r="I61" s="928"/>
      <c r="J61" s="928"/>
      <c r="K61" s="929"/>
      <c r="L61" s="1142"/>
      <c r="M61" s="1146"/>
      <c r="N61" s="1147">
        <v>6000</v>
      </c>
      <c r="O61" s="932">
        <f>SUM(O62:O65)</f>
        <v>0</v>
      </c>
      <c r="P61" s="932">
        <f t="shared" ref="P61:Y61" si="7">SUM(P62:P65)</f>
        <v>0</v>
      </c>
      <c r="Q61" s="932">
        <f t="shared" si="7"/>
        <v>0</v>
      </c>
      <c r="R61" s="932">
        <f t="shared" si="7"/>
        <v>0</v>
      </c>
      <c r="S61" s="932">
        <f t="shared" si="7"/>
        <v>0</v>
      </c>
      <c r="T61" s="932">
        <f t="shared" si="7"/>
        <v>0</v>
      </c>
      <c r="U61" s="932">
        <f t="shared" si="7"/>
        <v>3000</v>
      </c>
      <c r="V61" s="932">
        <f t="shared" si="7"/>
        <v>3000</v>
      </c>
      <c r="W61" s="932">
        <f t="shared" si="7"/>
        <v>0</v>
      </c>
      <c r="X61" s="932">
        <f t="shared" si="7"/>
        <v>0</v>
      </c>
      <c r="Y61" s="932">
        <f t="shared" si="7"/>
        <v>0</v>
      </c>
      <c r="Z61" s="932"/>
      <c r="AA61" s="927" t="s">
        <v>2987</v>
      </c>
      <c r="AB61" s="927" t="s">
        <v>280</v>
      </c>
    </row>
    <row r="62" spans="1:28" ht="123.45">
      <c r="A62" s="827"/>
      <c r="B62" s="827"/>
      <c r="C62" s="827"/>
      <c r="D62" s="827"/>
      <c r="E62" s="837" t="s">
        <v>1721</v>
      </c>
      <c r="F62" s="837" t="s">
        <v>1722</v>
      </c>
      <c r="G62" s="838" t="s">
        <v>656</v>
      </c>
      <c r="H62" s="829"/>
      <c r="I62" s="829" t="s">
        <v>239</v>
      </c>
      <c r="J62" s="829" t="s">
        <v>239</v>
      </c>
      <c r="K62" s="829" t="s">
        <v>239</v>
      </c>
      <c r="L62" s="880" t="s">
        <v>657</v>
      </c>
      <c r="M62" s="881">
        <v>6000</v>
      </c>
      <c r="N62" s="882"/>
      <c r="O62" s="883"/>
      <c r="P62" s="883"/>
      <c r="Q62" s="883"/>
      <c r="R62" s="883"/>
      <c r="S62" s="883"/>
      <c r="T62" s="883"/>
      <c r="U62" s="883">
        <v>3000</v>
      </c>
      <c r="V62" s="883">
        <v>3000</v>
      </c>
      <c r="W62" s="884"/>
      <c r="X62" s="883"/>
      <c r="Y62" s="883"/>
      <c r="Z62" s="883"/>
      <c r="AA62" s="881" t="s">
        <v>658</v>
      </c>
      <c r="AB62" s="829" t="s">
        <v>659</v>
      </c>
    </row>
    <row r="63" spans="1:28" ht="144">
      <c r="A63" s="827"/>
      <c r="B63" s="827"/>
      <c r="C63" s="827"/>
      <c r="D63" s="827"/>
      <c r="E63" s="885"/>
      <c r="F63" s="885" t="s">
        <v>660</v>
      </c>
      <c r="G63" s="886" t="s">
        <v>661</v>
      </c>
      <c r="H63" s="887"/>
      <c r="I63" s="887"/>
      <c r="J63" s="887"/>
      <c r="K63" s="887"/>
      <c r="L63" s="888"/>
      <c r="M63" s="889"/>
      <c r="N63" s="890"/>
      <c r="O63" s="891"/>
      <c r="P63" s="891"/>
      <c r="Q63" s="891"/>
      <c r="R63" s="891"/>
      <c r="S63" s="891"/>
      <c r="T63" s="891"/>
      <c r="U63" s="891"/>
      <c r="V63" s="891"/>
      <c r="W63" s="892"/>
      <c r="X63" s="891"/>
      <c r="Y63" s="891"/>
      <c r="Z63" s="891"/>
      <c r="AA63" s="889"/>
      <c r="AB63" s="887"/>
    </row>
    <row r="64" spans="1:28" ht="144">
      <c r="A64" s="827"/>
      <c r="B64" s="827"/>
      <c r="C64" s="827"/>
      <c r="D64" s="827"/>
      <c r="E64" s="885"/>
      <c r="F64" s="885" t="s">
        <v>662</v>
      </c>
      <c r="G64" s="886"/>
      <c r="H64" s="887"/>
      <c r="I64" s="887"/>
      <c r="J64" s="887"/>
      <c r="K64" s="887"/>
      <c r="L64" s="888"/>
      <c r="M64" s="889"/>
      <c r="N64" s="890"/>
      <c r="O64" s="891"/>
      <c r="P64" s="891"/>
      <c r="Q64" s="891"/>
      <c r="R64" s="891"/>
      <c r="S64" s="891"/>
      <c r="T64" s="891"/>
      <c r="U64" s="891"/>
      <c r="V64" s="891"/>
      <c r="W64" s="892"/>
      <c r="X64" s="891"/>
      <c r="Y64" s="891"/>
      <c r="Z64" s="891"/>
      <c r="AA64" s="889"/>
      <c r="AB64" s="887"/>
    </row>
    <row r="65" spans="1:28" ht="102.9">
      <c r="A65" s="827"/>
      <c r="B65" s="827"/>
      <c r="C65" s="827"/>
      <c r="D65" s="827"/>
      <c r="E65" s="885"/>
      <c r="F65" s="885" t="s">
        <v>663</v>
      </c>
      <c r="G65" s="886"/>
      <c r="H65" s="887"/>
      <c r="I65" s="887"/>
      <c r="J65" s="887"/>
      <c r="K65" s="887"/>
      <c r="L65" s="888"/>
      <c r="M65" s="889"/>
      <c r="N65" s="890"/>
      <c r="O65" s="891"/>
      <c r="P65" s="891"/>
      <c r="Q65" s="891"/>
      <c r="R65" s="891"/>
      <c r="S65" s="891"/>
      <c r="T65" s="891"/>
      <c r="U65" s="891"/>
      <c r="V65" s="891"/>
      <c r="W65" s="892"/>
      <c r="X65" s="891"/>
      <c r="Y65" s="891"/>
      <c r="Z65" s="891"/>
      <c r="AA65" s="889"/>
      <c r="AB65" s="887"/>
    </row>
    <row r="66" spans="1:28" ht="30.9" customHeight="1">
      <c r="A66" s="927"/>
      <c r="B66" s="927"/>
      <c r="C66" s="927"/>
      <c r="D66" s="941">
        <v>9</v>
      </c>
      <c r="E66" s="1148" t="s">
        <v>664</v>
      </c>
      <c r="F66" s="1149"/>
      <c r="G66" s="1150"/>
      <c r="H66" s="1151"/>
      <c r="I66" s="1151"/>
      <c r="J66" s="1151"/>
      <c r="K66" s="1151"/>
      <c r="L66" s="1151"/>
      <c r="M66" s="1152"/>
      <c r="N66" s="1153"/>
      <c r="O66" s="1154"/>
      <c r="P66" s="1154"/>
      <c r="Q66" s="1154"/>
      <c r="R66" s="1154"/>
      <c r="S66" s="1154"/>
      <c r="T66" s="1154"/>
      <c r="U66" s="1154"/>
      <c r="V66" s="1154"/>
      <c r="W66" s="1155"/>
      <c r="X66" s="1154"/>
      <c r="Y66" s="1154"/>
      <c r="Z66" s="1154"/>
      <c r="AA66" s="1152" t="s">
        <v>2987</v>
      </c>
      <c r="AB66" s="1151" t="s">
        <v>280</v>
      </c>
    </row>
    <row r="67" spans="1:28" ht="144">
      <c r="A67" s="827"/>
      <c r="B67" s="827"/>
      <c r="C67" s="827"/>
      <c r="D67" s="827"/>
      <c r="E67" s="885" t="s">
        <v>665</v>
      </c>
      <c r="F67" s="886" t="s">
        <v>666</v>
      </c>
      <c r="G67" s="886" t="s">
        <v>667</v>
      </c>
      <c r="H67" s="3724"/>
      <c r="I67" s="3724"/>
      <c r="J67" s="3724" t="s">
        <v>239</v>
      </c>
      <c r="K67" s="3724" t="s">
        <v>239</v>
      </c>
      <c r="L67" s="885"/>
      <c r="M67" s="889"/>
      <c r="N67" s="3727"/>
      <c r="O67" s="891"/>
      <c r="P67" s="891"/>
      <c r="Q67" s="891"/>
      <c r="R67" s="891"/>
      <c r="S67" s="891"/>
      <c r="T67" s="891"/>
      <c r="U67" s="891"/>
      <c r="V67" s="891"/>
      <c r="W67" s="892"/>
      <c r="X67" s="891"/>
      <c r="Y67" s="891"/>
      <c r="Z67" s="891"/>
      <c r="AA67" s="889" t="s">
        <v>658</v>
      </c>
      <c r="AB67" s="887" t="s">
        <v>659</v>
      </c>
    </row>
    <row r="68" spans="1:28" ht="102.9">
      <c r="A68" s="827"/>
      <c r="B68" s="827"/>
      <c r="C68" s="827"/>
      <c r="D68" s="827"/>
      <c r="E68" s="893"/>
      <c r="F68" s="894" t="s">
        <v>668</v>
      </c>
      <c r="G68" s="894" t="s">
        <v>669</v>
      </c>
      <c r="H68" s="3725"/>
      <c r="I68" s="3725"/>
      <c r="J68" s="3725"/>
      <c r="K68" s="3725"/>
      <c r="L68" s="893"/>
      <c r="M68" s="3730"/>
      <c r="N68" s="3728"/>
      <c r="O68" s="895"/>
      <c r="P68" s="895"/>
      <c r="Q68" s="895"/>
      <c r="R68" s="895"/>
      <c r="S68" s="895"/>
      <c r="T68" s="895"/>
      <c r="U68" s="895"/>
      <c r="V68" s="895"/>
      <c r="W68" s="896"/>
      <c r="X68" s="895"/>
      <c r="Y68" s="895"/>
      <c r="Z68" s="895"/>
      <c r="AA68" s="897"/>
      <c r="AB68" s="835"/>
    </row>
    <row r="69" spans="1:28" ht="156.44999999999999" customHeight="1">
      <c r="A69" s="827"/>
      <c r="B69" s="827"/>
      <c r="C69" s="827"/>
      <c r="D69" s="827"/>
      <c r="E69" s="898"/>
      <c r="F69" s="853" t="s">
        <v>670</v>
      </c>
      <c r="G69" s="853"/>
      <c r="H69" s="3726"/>
      <c r="I69" s="3726"/>
      <c r="J69" s="3726"/>
      <c r="K69" s="3726"/>
      <c r="L69" s="898"/>
      <c r="M69" s="3731"/>
      <c r="N69" s="3729"/>
      <c r="O69" s="899"/>
      <c r="P69" s="899"/>
      <c r="Q69" s="899"/>
      <c r="R69" s="899"/>
      <c r="S69" s="899"/>
      <c r="T69" s="899"/>
      <c r="U69" s="899"/>
      <c r="V69" s="899"/>
      <c r="W69" s="900"/>
      <c r="X69" s="899"/>
      <c r="Y69" s="899"/>
      <c r="Z69" s="899"/>
      <c r="AA69" s="901"/>
      <c r="AB69" s="831"/>
    </row>
    <row r="70" spans="1:28" ht="30" customHeight="1">
      <c r="A70" s="927"/>
      <c r="B70" s="927"/>
      <c r="C70" s="927"/>
      <c r="D70" s="941">
        <v>10</v>
      </c>
      <c r="E70" s="1156" t="s">
        <v>671</v>
      </c>
      <c r="F70" s="1157"/>
      <c r="G70" s="1157"/>
      <c r="H70" s="940"/>
      <c r="I70" s="940"/>
      <c r="J70" s="940"/>
      <c r="K70" s="940"/>
      <c r="L70" s="1158"/>
      <c r="M70" s="1159"/>
      <c r="N70" s="1160">
        <f>SUM(M71:M73)</f>
        <v>21600</v>
      </c>
      <c r="O70" s="1161">
        <f>SUM(O71:O73)</f>
        <v>0</v>
      </c>
      <c r="P70" s="1161">
        <f t="shared" ref="P70:Z70" si="8">SUM(P71:P73)</f>
        <v>0</v>
      </c>
      <c r="Q70" s="1161">
        <f t="shared" si="8"/>
        <v>7200</v>
      </c>
      <c r="R70" s="1161">
        <f t="shared" si="8"/>
        <v>0</v>
      </c>
      <c r="S70" s="1161">
        <f t="shared" si="8"/>
        <v>0</v>
      </c>
      <c r="T70" s="1161">
        <f t="shared" si="8"/>
        <v>7200</v>
      </c>
      <c r="U70" s="1161">
        <f t="shared" si="8"/>
        <v>0</v>
      </c>
      <c r="V70" s="1161">
        <f t="shared" si="8"/>
        <v>0</v>
      </c>
      <c r="W70" s="1161">
        <f t="shared" si="8"/>
        <v>7200</v>
      </c>
      <c r="X70" s="1161">
        <f t="shared" si="8"/>
        <v>0</v>
      </c>
      <c r="Y70" s="1161">
        <f t="shared" si="8"/>
        <v>0</v>
      </c>
      <c r="Z70" s="1161">
        <f t="shared" si="8"/>
        <v>0</v>
      </c>
      <c r="AA70" s="1159" t="s">
        <v>2987</v>
      </c>
      <c r="AB70" s="939" t="s">
        <v>280</v>
      </c>
    </row>
    <row r="71" spans="1:28" ht="130.75" customHeight="1">
      <c r="A71" s="827"/>
      <c r="B71" s="827"/>
      <c r="C71" s="827"/>
      <c r="D71" s="836"/>
      <c r="E71" s="902" t="s">
        <v>671</v>
      </c>
      <c r="F71" s="898" t="s">
        <v>1906</v>
      </c>
      <c r="G71" s="833" t="s">
        <v>672</v>
      </c>
      <c r="H71" s="903" t="s">
        <v>239</v>
      </c>
      <c r="I71" s="903" t="s">
        <v>239</v>
      </c>
      <c r="J71" s="903" t="s">
        <v>239</v>
      </c>
      <c r="K71" s="903" t="s">
        <v>239</v>
      </c>
      <c r="L71" s="837" t="s">
        <v>673</v>
      </c>
      <c r="M71" s="830">
        <v>12600</v>
      </c>
      <c r="O71" s="829"/>
      <c r="P71" s="829"/>
      <c r="Q71" s="828">
        <v>7200</v>
      </c>
      <c r="R71" s="829"/>
      <c r="S71" s="829"/>
      <c r="T71" s="828">
        <v>7200</v>
      </c>
      <c r="U71" s="828"/>
      <c r="V71" s="829"/>
      <c r="W71" s="828">
        <v>7200</v>
      </c>
      <c r="X71" s="829"/>
      <c r="Y71" s="828"/>
      <c r="Z71" s="829"/>
      <c r="AA71" s="854" t="s">
        <v>674</v>
      </c>
      <c r="AB71" s="904" t="s">
        <v>280</v>
      </c>
    </row>
    <row r="72" spans="1:28" ht="82.3">
      <c r="A72" s="827"/>
      <c r="B72" s="827"/>
      <c r="C72" s="827"/>
      <c r="D72" s="836"/>
      <c r="E72" s="902"/>
      <c r="F72" s="898" t="s">
        <v>1905</v>
      </c>
      <c r="G72" s="833"/>
      <c r="H72" s="903"/>
      <c r="I72" s="903"/>
      <c r="J72" s="903"/>
      <c r="K72" s="903"/>
      <c r="L72" s="837" t="s">
        <v>675</v>
      </c>
      <c r="M72" s="830">
        <v>9000</v>
      </c>
      <c r="N72" s="839"/>
      <c r="O72" s="829"/>
      <c r="P72" s="829"/>
      <c r="Q72" s="828"/>
      <c r="R72" s="829"/>
      <c r="S72" s="829"/>
      <c r="T72" s="828"/>
      <c r="U72" s="828"/>
      <c r="V72" s="829"/>
      <c r="W72" s="828"/>
      <c r="X72" s="829"/>
      <c r="Y72" s="828"/>
      <c r="Z72" s="829"/>
      <c r="AA72" s="842"/>
      <c r="AB72" s="836"/>
    </row>
    <row r="73" spans="1:28" ht="45.45" customHeight="1">
      <c r="A73" s="827"/>
      <c r="B73" s="827"/>
      <c r="C73" s="827"/>
      <c r="D73" s="836"/>
      <c r="E73" s="902"/>
      <c r="F73" s="898" t="s">
        <v>1907</v>
      </c>
      <c r="G73" s="833"/>
      <c r="H73" s="903"/>
      <c r="I73" s="903"/>
      <c r="J73" s="903"/>
      <c r="K73" s="903"/>
      <c r="L73" s="905"/>
      <c r="M73" s="906"/>
      <c r="N73" s="834"/>
      <c r="O73" s="835"/>
      <c r="P73" s="835"/>
      <c r="Q73" s="907"/>
      <c r="R73" s="835"/>
      <c r="S73" s="835"/>
      <c r="T73" s="907"/>
      <c r="U73" s="907"/>
      <c r="V73" s="835"/>
      <c r="W73" s="907"/>
      <c r="X73" s="835"/>
      <c r="Y73" s="907"/>
      <c r="Z73" s="835"/>
      <c r="AA73" s="854"/>
      <c r="AB73" s="904"/>
    </row>
    <row r="74" spans="1:28" ht="45.45" customHeight="1">
      <c r="A74" s="927"/>
      <c r="B74" s="927"/>
      <c r="C74" s="927"/>
      <c r="D74" s="941">
        <v>11</v>
      </c>
      <c r="E74" s="1162" t="s">
        <v>676</v>
      </c>
      <c r="F74" s="1128"/>
      <c r="G74" s="936"/>
      <c r="H74" s="1163"/>
      <c r="I74" s="1163"/>
      <c r="J74" s="1163"/>
      <c r="K74" s="1163"/>
      <c r="L74" s="1164"/>
      <c r="M74" s="1165"/>
      <c r="N74" s="938">
        <f>M75+M76+M77+M78</f>
        <v>37000</v>
      </c>
      <c r="O74" s="940">
        <f>SUM(O75:O79)</f>
        <v>0</v>
      </c>
      <c r="P74" s="940">
        <f t="shared" ref="P74:W74" si="9">SUM(P75:P79)</f>
        <v>0</v>
      </c>
      <c r="Q74" s="940">
        <f t="shared" si="9"/>
        <v>0</v>
      </c>
      <c r="R74" s="940">
        <f t="shared" si="9"/>
        <v>1500</v>
      </c>
      <c r="S74" s="940">
        <f t="shared" si="9"/>
        <v>0</v>
      </c>
      <c r="T74" s="940">
        <f t="shared" si="9"/>
        <v>34000</v>
      </c>
      <c r="U74" s="940">
        <f t="shared" si="9"/>
        <v>0</v>
      </c>
      <c r="V74" s="940">
        <f t="shared" si="9"/>
        <v>0</v>
      </c>
      <c r="W74" s="940">
        <f t="shared" si="9"/>
        <v>1500</v>
      </c>
      <c r="X74" s="940">
        <f t="shared" ref="X74:Z74" si="10">SUM(X75:X79)</f>
        <v>0</v>
      </c>
      <c r="Y74" s="940">
        <f t="shared" si="10"/>
        <v>0</v>
      </c>
      <c r="Z74" s="940">
        <f t="shared" si="10"/>
        <v>0</v>
      </c>
      <c r="AA74" s="1166" t="s">
        <v>2987</v>
      </c>
      <c r="AB74" s="1167" t="s">
        <v>280</v>
      </c>
    </row>
    <row r="75" spans="1:28" ht="246.9">
      <c r="A75" s="827"/>
      <c r="B75" s="827"/>
      <c r="C75" s="827"/>
      <c r="D75" s="827" t="s">
        <v>678</v>
      </c>
      <c r="E75" s="857" t="s">
        <v>679</v>
      </c>
      <c r="F75" s="837" t="s">
        <v>677</v>
      </c>
      <c r="G75" s="838" t="s">
        <v>680</v>
      </c>
      <c r="H75" s="903"/>
      <c r="I75" s="903" t="s">
        <v>239</v>
      </c>
      <c r="J75" s="903"/>
      <c r="K75" s="903" t="s">
        <v>239</v>
      </c>
      <c r="L75" s="837" t="s">
        <v>681</v>
      </c>
      <c r="M75" s="879">
        <v>3000</v>
      </c>
      <c r="N75" s="848"/>
      <c r="O75" s="829"/>
      <c r="P75" s="829"/>
      <c r="Q75" s="829"/>
      <c r="R75" s="844">
        <v>1500</v>
      </c>
      <c r="S75" s="829"/>
      <c r="T75" s="829"/>
      <c r="U75" s="829"/>
      <c r="V75" s="829"/>
      <c r="W75" s="844">
        <v>1500</v>
      </c>
      <c r="X75" s="829"/>
      <c r="Y75" s="829"/>
      <c r="Z75" s="829"/>
      <c r="AA75" s="833"/>
      <c r="AB75" s="836"/>
    </row>
    <row r="76" spans="1:28" ht="122.5" customHeight="1">
      <c r="A76" s="827"/>
      <c r="B76" s="827"/>
      <c r="C76" s="827"/>
      <c r="D76" s="827"/>
      <c r="E76" s="857" t="s">
        <v>682</v>
      </c>
      <c r="F76" s="837"/>
      <c r="G76" s="838" t="s">
        <v>683</v>
      </c>
      <c r="H76" s="903"/>
      <c r="I76" s="903" t="s">
        <v>239</v>
      </c>
      <c r="J76" s="903"/>
      <c r="K76" s="903"/>
      <c r="L76" s="837" t="s">
        <v>684</v>
      </c>
      <c r="M76" s="908">
        <v>14000</v>
      </c>
      <c r="N76" s="909"/>
      <c r="O76" s="829"/>
      <c r="P76" s="829"/>
      <c r="Q76" s="829"/>
      <c r="R76" s="829"/>
      <c r="S76" s="829"/>
      <c r="T76" s="908">
        <v>14000</v>
      </c>
      <c r="U76" s="830"/>
      <c r="V76" s="829"/>
      <c r="W76" s="829"/>
      <c r="X76" s="829"/>
      <c r="Y76" s="829"/>
      <c r="Z76" s="829"/>
      <c r="AA76" s="833"/>
      <c r="AB76" s="836"/>
    </row>
    <row r="77" spans="1:28" ht="88.3" customHeight="1">
      <c r="A77" s="827"/>
      <c r="B77" s="827"/>
      <c r="C77" s="827"/>
      <c r="D77" s="827"/>
      <c r="E77" s="857"/>
      <c r="F77" s="837"/>
      <c r="G77" s="838"/>
      <c r="H77" s="903"/>
      <c r="I77" s="903"/>
      <c r="J77" s="903"/>
      <c r="K77" s="903"/>
      <c r="L77" s="910" t="s">
        <v>685</v>
      </c>
      <c r="M77" s="908">
        <v>10000</v>
      </c>
      <c r="N77" s="909"/>
      <c r="O77" s="829"/>
      <c r="P77" s="829"/>
      <c r="Q77" s="829"/>
      <c r="R77" s="829"/>
      <c r="S77" s="829"/>
      <c r="T77" s="908">
        <v>10000</v>
      </c>
      <c r="U77" s="830"/>
      <c r="V77" s="829"/>
      <c r="W77" s="829"/>
      <c r="X77" s="829"/>
      <c r="Y77" s="829"/>
      <c r="Z77" s="829"/>
      <c r="AA77" s="833"/>
      <c r="AB77" s="836"/>
    </row>
    <row r="78" spans="1:28" ht="56.15" customHeight="1">
      <c r="A78" s="827"/>
      <c r="B78" s="827"/>
      <c r="C78" s="827"/>
      <c r="D78" s="827"/>
      <c r="E78" s="857"/>
      <c r="F78" s="837"/>
      <c r="G78" s="838"/>
      <c r="H78" s="903"/>
      <c r="I78" s="903"/>
      <c r="J78" s="903"/>
      <c r="K78" s="903"/>
      <c r="L78" s="910" t="s">
        <v>686</v>
      </c>
      <c r="M78" s="908">
        <v>10000</v>
      </c>
      <c r="N78" s="909"/>
      <c r="O78" s="829"/>
      <c r="P78" s="829"/>
      <c r="Q78" s="829"/>
      <c r="R78" s="829"/>
      <c r="S78" s="829"/>
      <c r="T78" s="908">
        <v>10000</v>
      </c>
      <c r="U78" s="830"/>
      <c r="V78" s="829"/>
      <c r="W78" s="829"/>
      <c r="X78" s="829"/>
      <c r="Y78" s="829"/>
      <c r="Z78" s="829"/>
      <c r="AA78" s="833"/>
      <c r="AB78" s="836"/>
    </row>
    <row r="79" spans="1:28" ht="58.5" customHeight="1">
      <c r="A79" s="827"/>
      <c r="B79" s="827"/>
      <c r="C79" s="827"/>
      <c r="D79" s="827"/>
      <c r="E79" s="857"/>
      <c r="F79" s="837"/>
      <c r="G79" s="838"/>
      <c r="H79" s="903"/>
      <c r="I79" s="903"/>
      <c r="J79" s="903"/>
      <c r="K79" s="903"/>
      <c r="L79" s="910"/>
      <c r="M79" s="908"/>
      <c r="N79" s="909"/>
      <c r="O79" s="829"/>
      <c r="P79" s="829"/>
      <c r="Q79" s="829"/>
      <c r="R79" s="829"/>
      <c r="S79" s="829"/>
      <c r="T79" s="908"/>
      <c r="U79" s="830"/>
      <c r="V79" s="829"/>
      <c r="W79" s="829"/>
      <c r="X79" s="829"/>
      <c r="Y79" s="829"/>
      <c r="Z79" s="829"/>
      <c r="AA79" s="833"/>
      <c r="AB79" s="836"/>
    </row>
    <row r="80" spans="1:28" ht="40.75" customHeight="1">
      <c r="A80" s="927"/>
      <c r="B80" s="927"/>
      <c r="C80" s="927"/>
      <c r="D80" s="941">
        <v>12</v>
      </c>
      <c r="E80" s="1141" t="s">
        <v>687</v>
      </c>
      <c r="F80" s="1128"/>
      <c r="G80" s="933"/>
      <c r="H80" s="933"/>
      <c r="I80" s="933"/>
      <c r="J80" s="933"/>
      <c r="K80" s="933"/>
      <c r="L80" s="1168"/>
      <c r="M80" s="937"/>
      <c r="N80" s="1169">
        <f>M81+M82+M83+M84+M85+M86+M87+M88+M89+M90+M92+M93+M94+M95</f>
        <v>136500</v>
      </c>
      <c r="O80" s="929">
        <f>SUM(O81:O95)</f>
        <v>0</v>
      </c>
      <c r="P80" s="929">
        <f t="shared" ref="P80:W80" si="11">SUM(P81:P95)</f>
        <v>0</v>
      </c>
      <c r="Q80" s="929">
        <f t="shared" si="11"/>
        <v>45600</v>
      </c>
      <c r="R80" s="929">
        <f t="shared" si="11"/>
        <v>39600</v>
      </c>
      <c r="S80" s="929">
        <f t="shared" si="11"/>
        <v>8400</v>
      </c>
      <c r="T80" s="929">
        <f t="shared" si="11"/>
        <v>12000</v>
      </c>
      <c r="U80" s="929">
        <f t="shared" si="11"/>
        <v>6000</v>
      </c>
      <c r="V80" s="929">
        <f t="shared" si="11"/>
        <v>6000</v>
      </c>
      <c r="W80" s="929">
        <f t="shared" si="11"/>
        <v>6000</v>
      </c>
      <c r="X80" s="929">
        <f>SUM(X81:X95)</f>
        <v>6900</v>
      </c>
      <c r="Y80" s="929">
        <f>SUM(Y81:Y95)</f>
        <v>6000</v>
      </c>
      <c r="Z80" s="929">
        <f>SUM(Z81:Z95)</f>
        <v>0</v>
      </c>
      <c r="AA80" s="930" t="s">
        <v>2987</v>
      </c>
      <c r="AB80" s="1170" t="s">
        <v>690</v>
      </c>
    </row>
    <row r="81" spans="1:28" ht="126" customHeight="1">
      <c r="A81" s="827"/>
      <c r="B81" s="827"/>
      <c r="C81" s="827"/>
      <c r="D81" s="827"/>
      <c r="E81" s="912" t="s">
        <v>691</v>
      </c>
      <c r="F81" s="893"/>
      <c r="G81" s="907" t="s">
        <v>692</v>
      </c>
      <c r="H81" s="913" t="s">
        <v>693</v>
      </c>
      <c r="I81" s="913" t="s">
        <v>693</v>
      </c>
      <c r="J81" s="907"/>
      <c r="K81" s="907"/>
      <c r="L81" s="893" t="s">
        <v>1723</v>
      </c>
      <c r="M81" s="906">
        <v>16800</v>
      </c>
      <c r="N81" s="914"/>
      <c r="O81" s="835"/>
      <c r="P81" s="835"/>
      <c r="Q81" s="915">
        <v>8400</v>
      </c>
      <c r="R81" s="915">
        <v>8400</v>
      </c>
      <c r="S81" s="835"/>
      <c r="T81" s="835"/>
      <c r="U81" s="835"/>
      <c r="V81" s="835"/>
      <c r="W81" s="835"/>
      <c r="X81" s="835"/>
      <c r="Y81" s="835"/>
      <c r="Z81" s="835"/>
      <c r="AA81" s="852" t="s">
        <v>689</v>
      </c>
      <c r="AB81" s="848"/>
    </row>
    <row r="82" spans="1:28" ht="82.75" customHeight="1">
      <c r="A82" s="827"/>
      <c r="B82" s="827"/>
      <c r="C82" s="827"/>
      <c r="D82" s="827"/>
      <c r="E82" s="842"/>
      <c r="F82" s="837"/>
      <c r="G82" s="828"/>
      <c r="H82" s="848"/>
      <c r="I82" s="848"/>
      <c r="J82" s="828"/>
      <c r="K82" s="828"/>
      <c r="L82" s="837" t="s">
        <v>694</v>
      </c>
      <c r="M82" s="830">
        <v>12000</v>
      </c>
      <c r="N82" s="911"/>
      <c r="O82" s="829"/>
      <c r="P82" s="829"/>
      <c r="Q82" s="839">
        <v>6000</v>
      </c>
      <c r="R82" s="839">
        <v>6000</v>
      </c>
      <c r="S82" s="829"/>
      <c r="T82" s="829"/>
      <c r="U82" s="829"/>
      <c r="V82" s="829"/>
      <c r="W82" s="829"/>
      <c r="X82" s="829"/>
      <c r="Y82" s="829"/>
      <c r="Z82" s="829"/>
      <c r="AA82" s="842"/>
      <c r="AB82" s="848"/>
    </row>
    <row r="83" spans="1:28" ht="171.9" customHeight="1">
      <c r="A83" s="827"/>
      <c r="B83" s="827"/>
      <c r="C83" s="827"/>
      <c r="D83" s="827"/>
      <c r="E83" s="851" t="s">
        <v>695</v>
      </c>
      <c r="F83" s="837" t="s">
        <v>688</v>
      </c>
      <c r="G83" s="842" t="s">
        <v>696</v>
      </c>
      <c r="H83" s="848" t="s">
        <v>693</v>
      </c>
      <c r="I83" s="848" t="s">
        <v>693</v>
      </c>
      <c r="J83" s="848"/>
      <c r="K83" s="841"/>
      <c r="L83" s="837" t="s">
        <v>697</v>
      </c>
      <c r="M83" s="908">
        <v>11200</v>
      </c>
      <c r="N83" s="916"/>
      <c r="O83" s="846"/>
      <c r="P83" s="917"/>
      <c r="Q83" s="918">
        <v>5600</v>
      </c>
      <c r="R83" s="845">
        <v>5600</v>
      </c>
      <c r="S83" s="827"/>
      <c r="T83" s="827"/>
      <c r="U83" s="846"/>
      <c r="V83" s="827"/>
      <c r="W83" s="827"/>
      <c r="X83" s="827"/>
      <c r="Y83" s="827"/>
      <c r="Z83" s="827"/>
      <c r="AA83" s="917"/>
      <c r="AB83" s="836"/>
    </row>
    <row r="84" spans="1:28" ht="87.9" customHeight="1">
      <c r="A84" s="827"/>
      <c r="B84" s="827"/>
      <c r="C84" s="827"/>
      <c r="D84" s="827"/>
      <c r="E84" s="851"/>
      <c r="F84" s="842"/>
      <c r="G84" s="842"/>
      <c r="H84" s="848"/>
      <c r="I84" s="848"/>
      <c r="J84" s="848"/>
      <c r="K84" s="841"/>
      <c r="L84" s="837" t="s">
        <v>698</v>
      </c>
      <c r="M84" s="908">
        <v>8000</v>
      </c>
      <c r="N84" s="916"/>
      <c r="O84" s="846"/>
      <c r="P84" s="917"/>
      <c r="Q84" s="918">
        <v>4000</v>
      </c>
      <c r="R84" s="845">
        <v>4000</v>
      </c>
      <c r="S84" s="827"/>
      <c r="T84" s="827"/>
      <c r="U84" s="846"/>
      <c r="V84" s="827"/>
      <c r="W84" s="827"/>
      <c r="X84" s="827"/>
      <c r="Y84" s="827"/>
      <c r="Z84" s="827"/>
      <c r="AA84" s="917"/>
      <c r="AB84" s="836"/>
    </row>
    <row r="85" spans="1:28" ht="67.75" customHeight="1">
      <c r="A85" s="827"/>
      <c r="B85" s="827"/>
      <c r="C85" s="827"/>
      <c r="D85" s="827"/>
      <c r="E85" s="851"/>
      <c r="F85" s="842"/>
      <c r="G85" s="842"/>
      <c r="H85" s="848"/>
      <c r="I85" s="848"/>
      <c r="J85" s="848"/>
      <c r="K85" s="841"/>
      <c r="L85" s="837" t="s">
        <v>699</v>
      </c>
      <c r="M85" s="908">
        <v>14400</v>
      </c>
      <c r="N85" s="916"/>
      <c r="O85" s="846"/>
      <c r="P85" s="917"/>
      <c r="Q85" s="918">
        <v>7200</v>
      </c>
      <c r="R85" s="845">
        <v>7200</v>
      </c>
      <c r="S85" s="827"/>
      <c r="T85" s="827"/>
      <c r="U85" s="846"/>
      <c r="V85" s="827"/>
      <c r="W85" s="827"/>
      <c r="X85" s="827"/>
      <c r="Y85" s="827"/>
      <c r="Z85" s="827"/>
      <c r="AA85" s="917"/>
      <c r="AB85" s="836"/>
    </row>
    <row r="86" spans="1:28" ht="164.6">
      <c r="A86" s="827"/>
      <c r="B86" s="827"/>
      <c r="C86" s="827"/>
      <c r="D86" s="827"/>
      <c r="E86" s="919" t="s">
        <v>700</v>
      </c>
      <c r="F86" s="920"/>
      <c r="G86" s="859" t="s">
        <v>701</v>
      </c>
      <c r="H86" s="848"/>
      <c r="I86" s="848" t="s">
        <v>693</v>
      </c>
      <c r="J86" s="848"/>
      <c r="K86" s="920"/>
      <c r="L86" s="837" t="s">
        <v>702</v>
      </c>
      <c r="M86" s="908">
        <v>8400</v>
      </c>
      <c r="N86" s="916"/>
      <c r="O86" s="846"/>
      <c r="P86" s="920"/>
      <c r="Q86" s="921">
        <v>2800</v>
      </c>
      <c r="R86" s="921">
        <v>2800</v>
      </c>
      <c r="S86" s="921">
        <v>2800</v>
      </c>
      <c r="T86" s="846"/>
      <c r="U86" s="846"/>
      <c r="V86" s="920"/>
      <c r="W86" s="920"/>
      <c r="X86" s="920"/>
      <c r="Y86" s="920"/>
      <c r="Z86" s="920"/>
      <c r="AA86" s="920"/>
      <c r="AB86" s="920"/>
    </row>
    <row r="87" spans="1:28" ht="84" customHeight="1">
      <c r="A87" s="827"/>
      <c r="B87" s="827"/>
      <c r="C87" s="827"/>
      <c r="D87" s="827"/>
      <c r="E87" s="919"/>
      <c r="F87" s="920"/>
      <c r="G87" s="859"/>
      <c r="H87" s="922"/>
      <c r="I87" s="848"/>
      <c r="J87" s="848"/>
      <c r="K87" s="920"/>
      <c r="L87" s="837" t="s">
        <v>703</v>
      </c>
      <c r="M87" s="908">
        <v>6000</v>
      </c>
      <c r="N87" s="916"/>
      <c r="O87" s="846"/>
      <c r="P87" s="920"/>
      <c r="Q87" s="921">
        <v>2000</v>
      </c>
      <c r="R87" s="921">
        <v>2000</v>
      </c>
      <c r="S87" s="921">
        <v>2000</v>
      </c>
      <c r="T87" s="846"/>
      <c r="U87" s="846"/>
      <c r="V87" s="920"/>
      <c r="W87" s="920"/>
      <c r="X87" s="920"/>
      <c r="Y87" s="920"/>
      <c r="Z87" s="920"/>
      <c r="AA87" s="920"/>
      <c r="AB87" s="920"/>
    </row>
    <row r="88" spans="1:28" ht="81.45" customHeight="1">
      <c r="A88" s="827"/>
      <c r="B88" s="827"/>
      <c r="C88" s="827"/>
      <c r="D88" s="827"/>
      <c r="E88" s="919"/>
      <c r="F88" s="920"/>
      <c r="G88" s="859"/>
      <c r="H88" s="922"/>
      <c r="I88" s="848"/>
      <c r="J88" s="848"/>
      <c r="K88" s="920"/>
      <c r="L88" s="837" t="s">
        <v>704</v>
      </c>
      <c r="M88" s="908">
        <v>10800</v>
      </c>
      <c r="N88" s="916"/>
      <c r="O88" s="846"/>
      <c r="P88" s="920"/>
      <c r="Q88" s="921">
        <v>3600</v>
      </c>
      <c r="R88" s="921">
        <v>3600</v>
      </c>
      <c r="S88" s="921">
        <v>3600</v>
      </c>
      <c r="T88" s="846"/>
      <c r="U88" s="846"/>
      <c r="V88" s="920"/>
      <c r="W88" s="920"/>
      <c r="X88" s="920"/>
      <c r="Y88" s="920"/>
      <c r="Z88" s="920"/>
      <c r="AA88" s="920"/>
      <c r="AB88" s="920"/>
    </row>
    <row r="89" spans="1:28" ht="118" customHeight="1">
      <c r="A89" s="827"/>
      <c r="B89" s="827"/>
      <c r="C89" s="827"/>
      <c r="D89" s="827"/>
      <c r="E89" s="919" t="s">
        <v>705</v>
      </c>
      <c r="F89" s="837"/>
      <c r="G89" s="859" t="s">
        <v>706</v>
      </c>
      <c r="H89" s="903" t="s">
        <v>239</v>
      </c>
      <c r="I89" s="829"/>
      <c r="J89" s="829"/>
      <c r="K89" s="829"/>
      <c r="L89" s="837" t="s">
        <v>1724</v>
      </c>
      <c r="M89" s="879">
        <v>14000</v>
      </c>
      <c r="N89" s="839"/>
      <c r="O89" s="830"/>
      <c r="P89" s="830"/>
      <c r="Q89" s="839">
        <v>6000</v>
      </c>
      <c r="R89" s="830"/>
      <c r="S89" s="830"/>
      <c r="T89" s="839">
        <v>6000</v>
      </c>
      <c r="U89" s="830"/>
      <c r="V89" s="830"/>
      <c r="W89" s="839">
        <v>6000</v>
      </c>
      <c r="X89" s="830"/>
      <c r="Y89" s="839">
        <v>6000</v>
      </c>
      <c r="Z89" s="830"/>
      <c r="AA89" s="829"/>
      <c r="AB89" s="841"/>
    </row>
    <row r="90" spans="1:28" ht="78" customHeight="1">
      <c r="A90" s="827"/>
      <c r="B90" s="827"/>
      <c r="C90" s="827"/>
      <c r="D90" s="827"/>
      <c r="E90" s="919"/>
      <c r="F90" s="837"/>
      <c r="G90" s="837"/>
      <c r="H90" s="903"/>
      <c r="I90" s="829"/>
      <c r="J90" s="829"/>
      <c r="K90" s="829"/>
      <c r="L90" s="837" t="s">
        <v>707</v>
      </c>
      <c r="M90" s="879">
        <v>10000</v>
      </c>
      <c r="N90" s="839"/>
      <c r="O90" s="830"/>
      <c r="P90" s="830"/>
      <c r="Q90" s="839"/>
      <c r="R90" s="830"/>
      <c r="S90" s="830"/>
      <c r="T90" s="830"/>
      <c r="U90" s="830"/>
      <c r="V90" s="830"/>
      <c r="W90" s="830"/>
      <c r="X90" s="830"/>
      <c r="Y90" s="830"/>
      <c r="Z90" s="830"/>
      <c r="AA90" s="829"/>
      <c r="AB90" s="841"/>
    </row>
    <row r="91" spans="1:28" ht="65.599999999999994" customHeight="1">
      <c r="A91" s="827"/>
      <c r="B91" s="827"/>
      <c r="C91" s="827"/>
      <c r="D91" s="827"/>
      <c r="E91" s="851" t="s">
        <v>708</v>
      </c>
      <c r="F91" s="920"/>
      <c r="G91" s="859" t="s">
        <v>709</v>
      </c>
      <c r="H91" s="920"/>
      <c r="I91" s="848" t="s">
        <v>693</v>
      </c>
      <c r="J91" s="848" t="s">
        <v>693</v>
      </c>
      <c r="K91" s="920"/>
      <c r="L91" s="837" t="s">
        <v>710</v>
      </c>
      <c r="M91" s="848"/>
      <c r="N91" s="846"/>
      <c r="O91" s="920"/>
      <c r="P91" s="920"/>
      <c r="Q91" s="846"/>
      <c r="R91" s="846"/>
      <c r="S91" s="923"/>
      <c r="T91" s="846"/>
      <c r="U91" s="920"/>
      <c r="V91" s="920"/>
      <c r="W91" s="920"/>
      <c r="X91" s="920"/>
      <c r="Y91" s="920"/>
      <c r="Z91" s="920"/>
      <c r="AA91" s="920"/>
      <c r="AB91" s="920"/>
    </row>
    <row r="92" spans="1:28" ht="110.5" customHeight="1">
      <c r="A92" s="827"/>
      <c r="B92" s="827"/>
      <c r="C92" s="827"/>
      <c r="D92" s="827"/>
      <c r="E92" s="851" t="s">
        <v>711</v>
      </c>
      <c r="F92" s="920"/>
      <c r="G92" s="859" t="s">
        <v>712</v>
      </c>
      <c r="H92" s="920"/>
      <c r="I92" s="848" t="s">
        <v>693</v>
      </c>
      <c r="J92" s="848" t="s">
        <v>693</v>
      </c>
      <c r="K92" s="920"/>
      <c r="L92" s="842" t="s">
        <v>713</v>
      </c>
      <c r="M92" s="879">
        <v>18000</v>
      </c>
      <c r="N92" s="916"/>
      <c r="O92" s="920"/>
      <c r="P92" s="920"/>
      <c r="Q92" s="920"/>
      <c r="R92" s="848"/>
      <c r="S92" s="920"/>
      <c r="T92" s="846">
        <v>6000</v>
      </c>
      <c r="U92" s="846">
        <v>6000</v>
      </c>
      <c r="V92" s="846">
        <v>6000</v>
      </c>
      <c r="W92" s="924"/>
      <c r="X92" s="920"/>
      <c r="Y92" s="920"/>
      <c r="Z92" s="920"/>
      <c r="AA92" s="920"/>
      <c r="AB92" s="920"/>
    </row>
    <row r="93" spans="1:28" ht="105.65" customHeight="1">
      <c r="A93" s="827"/>
      <c r="B93" s="827"/>
      <c r="C93" s="827"/>
      <c r="D93" s="827"/>
      <c r="E93" s="857" t="s">
        <v>714</v>
      </c>
      <c r="F93" s="920"/>
      <c r="G93" s="859" t="s">
        <v>715</v>
      </c>
      <c r="H93" s="920"/>
      <c r="I93" s="920"/>
      <c r="J93" s="920"/>
      <c r="K93" s="920"/>
      <c r="L93" s="842" t="s">
        <v>716</v>
      </c>
      <c r="M93" s="925">
        <v>3500</v>
      </c>
      <c r="N93" s="916"/>
      <c r="O93" s="920"/>
      <c r="P93" s="920"/>
      <c r="Q93" s="920"/>
      <c r="R93" s="920"/>
      <c r="S93" s="920"/>
      <c r="T93" s="920"/>
      <c r="U93" s="920"/>
      <c r="V93" s="920"/>
      <c r="W93" s="920"/>
      <c r="X93" s="916">
        <v>3500</v>
      </c>
      <c r="Y93" s="920"/>
      <c r="Z93" s="920"/>
      <c r="AA93" s="920"/>
      <c r="AB93" s="920"/>
    </row>
    <row r="94" spans="1:28" ht="71.150000000000006" customHeight="1">
      <c r="A94" s="827"/>
      <c r="B94" s="827"/>
      <c r="C94" s="827"/>
      <c r="D94" s="827"/>
      <c r="E94" s="857"/>
      <c r="F94" s="920"/>
      <c r="G94" s="859"/>
      <c r="H94" s="920"/>
      <c r="I94" s="920"/>
      <c r="J94" s="920"/>
      <c r="K94" s="920"/>
      <c r="L94" s="842" t="s">
        <v>717</v>
      </c>
      <c r="M94" s="925">
        <v>2500</v>
      </c>
      <c r="N94" s="916"/>
      <c r="O94" s="920"/>
      <c r="P94" s="920"/>
      <c r="Q94" s="920"/>
      <c r="R94" s="920"/>
      <c r="S94" s="920"/>
      <c r="T94" s="920"/>
      <c r="U94" s="920"/>
      <c r="V94" s="920"/>
      <c r="W94" s="920"/>
      <c r="X94" s="916">
        <v>2500</v>
      </c>
      <c r="Y94" s="920"/>
      <c r="Z94" s="920"/>
      <c r="AA94" s="920"/>
      <c r="AB94" s="920"/>
    </row>
    <row r="95" spans="1:28" ht="57.45" customHeight="1">
      <c r="A95" s="827"/>
      <c r="B95" s="827"/>
      <c r="C95" s="827"/>
      <c r="D95" s="827"/>
      <c r="E95" s="857"/>
      <c r="F95" s="920"/>
      <c r="G95" s="859"/>
      <c r="H95" s="920"/>
      <c r="I95" s="920"/>
      <c r="J95" s="920"/>
      <c r="K95" s="920"/>
      <c r="L95" s="842" t="s">
        <v>718</v>
      </c>
      <c r="M95" s="925">
        <v>900</v>
      </c>
      <c r="N95" s="916"/>
      <c r="O95" s="920"/>
      <c r="P95" s="920"/>
      <c r="Q95" s="920"/>
      <c r="R95" s="920"/>
      <c r="S95" s="920"/>
      <c r="T95" s="920"/>
      <c r="U95" s="920"/>
      <c r="V95" s="920"/>
      <c r="W95" s="920"/>
      <c r="X95" s="916">
        <v>900</v>
      </c>
      <c r="Y95" s="920"/>
      <c r="Z95" s="920"/>
      <c r="AA95" s="920"/>
      <c r="AB95" s="920"/>
    </row>
    <row r="96" spans="1:28">
      <c r="N96" s="926"/>
    </row>
  </sheetData>
  <autoFilter ref="A11:AE18" xr:uid="{0DC2A9FB-F0C3-4568-9A91-CBB43DFD4427}"/>
  <mergeCells count="29">
    <mergeCell ref="V55:V56"/>
    <mergeCell ref="Y57:Y60"/>
    <mergeCell ref="H67:H69"/>
    <mergeCell ref="I67:I69"/>
    <mergeCell ref="J67:J69"/>
    <mergeCell ref="K67:K69"/>
    <mergeCell ref="N67:N69"/>
    <mergeCell ref="M68:M69"/>
    <mergeCell ref="E31:G31"/>
    <mergeCell ref="Q47:Q49"/>
    <mergeCell ref="R50:R52"/>
    <mergeCell ref="R53:R54"/>
    <mergeCell ref="G55:G56"/>
    <mergeCell ref="E20:G20"/>
    <mergeCell ref="D1:AB1"/>
    <mergeCell ref="D8:D10"/>
    <mergeCell ref="E8:E10"/>
    <mergeCell ref="F8:F10"/>
    <mergeCell ref="G8:G10"/>
    <mergeCell ref="H8:K9"/>
    <mergeCell ref="L8:M9"/>
    <mergeCell ref="N8:N10"/>
    <mergeCell ref="O8:Z8"/>
    <mergeCell ref="AA8:AA10"/>
    <mergeCell ref="AB8:AB10"/>
    <mergeCell ref="O9:Q9"/>
    <mergeCell ref="R9:T9"/>
    <mergeCell ref="U9:W9"/>
    <mergeCell ref="X9:Z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D97B8-E887-4056-BB1B-0031C28D7C53}">
  <sheetPr>
    <tabColor rgb="FF92D050"/>
  </sheetPr>
  <dimension ref="A1:AH77"/>
  <sheetViews>
    <sheetView topLeftCell="A52" zoomScale="70" zoomScaleNormal="70" workbookViewId="0">
      <selection activeCell="P54" sqref="P54"/>
    </sheetView>
  </sheetViews>
  <sheetFormatPr defaultRowHeight="13.75"/>
  <cols>
    <col min="1" max="1" width="4.35546875" customWidth="1"/>
    <col min="2" max="2" width="5.5" customWidth="1"/>
    <col min="3" max="3" width="6.2109375" customWidth="1"/>
    <col min="4" max="4" width="5.640625" customWidth="1"/>
    <col min="5" max="5" width="20.640625" customWidth="1"/>
    <col min="6" max="6" width="20.2109375" customWidth="1"/>
    <col min="7" max="7" width="13.640625" customWidth="1"/>
    <col min="8" max="8" width="3.85546875" customWidth="1"/>
    <col min="9" max="9" width="4.2109375" customWidth="1"/>
    <col min="10" max="10" width="4.7109375" customWidth="1"/>
    <col min="11" max="11" width="4" customWidth="1"/>
    <col min="12" max="12" width="23.2109375" customWidth="1"/>
    <col min="13" max="13" width="7.2109375" customWidth="1"/>
    <col min="14" max="14" width="8.7109375" customWidth="1"/>
    <col min="15" max="16" width="6.640625" customWidth="1"/>
    <col min="17" max="17" width="7.2109375" customWidth="1"/>
    <col min="18" max="18" width="8.92578125" customWidth="1"/>
    <col min="19" max="19" width="8.140625" customWidth="1"/>
    <col min="20" max="20" width="9.35546875" customWidth="1"/>
    <col min="21" max="26" width="6.640625" customWidth="1"/>
    <col min="27" max="27" width="11.42578125" customWidth="1"/>
    <col min="28" max="28" width="12.28515625" customWidth="1"/>
    <col min="29" max="29" width="7.140625" customWidth="1"/>
    <col min="31" max="31" width="12.140625" bestFit="1" customWidth="1"/>
    <col min="256" max="256" width="4.35546875" customWidth="1"/>
    <col min="257" max="257" width="20.640625" customWidth="1"/>
    <col min="258" max="258" width="12.35546875" customWidth="1"/>
    <col min="259" max="259" width="12.640625" customWidth="1"/>
    <col min="260" max="260" width="3.85546875" customWidth="1"/>
    <col min="261" max="261" width="4.2109375" customWidth="1"/>
    <col min="262" max="262" width="4.140625" customWidth="1"/>
    <col min="263" max="263" width="4" customWidth="1"/>
    <col min="264" max="264" width="16.35546875" customWidth="1"/>
    <col min="265" max="265" width="5.640625" customWidth="1"/>
    <col min="266" max="266" width="8.7109375" customWidth="1"/>
    <col min="267" max="267" width="5.35546875" customWidth="1"/>
    <col min="268" max="268" width="4.35546875" customWidth="1"/>
    <col min="269" max="269" width="4.2109375" customWidth="1"/>
    <col min="270" max="270" width="3.140625" customWidth="1"/>
    <col min="271" max="271" width="4.640625" customWidth="1"/>
    <col min="272" max="272" width="4.35546875" customWidth="1"/>
    <col min="273" max="273" width="4" customWidth="1"/>
    <col min="274" max="274" width="3" customWidth="1"/>
    <col min="275" max="275" width="3.85546875" customWidth="1"/>
    <col min="276" max="276" width="4.35546875" customWidth="1"/>
    <col min="277" max="277" width="3.35546875" customWidth="1"/>
    <col min="278" max="278" width="4.85546875" customWidth="1"/>
    <col min="279" max="279" width="10.640625" customWidth="1"/>
    <col min="280" max="280" width="7.140625" customWidth="1"/>
    <col min="281" max="281" width="8.140625" customWidth="1"/>
    <col min="282" max="282" width="7.640625" customWidth="1"/>
    <col min="283" max="284" width="7.7109375" customWidth="1"/>
    <col min="285" max="285" width="7.140625" customWidth="1"/>
    <col min="512" max="512" width="4.35546875" customWidth="1"/>
    <col min="513" max="513" width="20.640625" customWidth="1"/>
    <col min="514" max="514" width="12.35546875" customWidth="1"/>
    <col min="515" max="515" width="12.640625" customWidth="1"/>
    <col min="516" max="516" width="3.85546875" customWidth="1"/>
    <col min="517" max="517" width="4.2109375" customWidth="1"/>
    <col min="518" max="518" width="4.140625" customWidth="1"/>
    <col min="519" max="519" width="4" customWidth="1"/>
    <col min="520" max="520" width="16.35546875" customWidth="1"/>
    <col min="521" max="521" width="5.640625" customWidth="1"/>
    <col min="522" max="522" width="8.7109375" customWidth="1"/>
    <col min="523" max="523" width="5.35546875" customWidth="1"/>
    <col min="524" max="524" width="4.35546875" customWidth="1"/>
    <col min="525" max="525" width="4.2109375" customWidth="1"/>
    <col min="526" max="526" width="3.140625" customWidth="1"/>
    <col min="527" max="527" width="4.640625" customWidth="1"/>
    <col min="528" max="528" width="4.35546875" customWidth="1"/>
    <col min="529" max="529" width="4" customWidth="1"/>
    <col min="530" max="530" width="3" customWidth="1"/>
    <col min="531" max="531" width="3.85546875" customWidth="1"/>
    <col min="532" max="532" width="4.35546875" customWidth="1"/>
    <col min="533" max="533" width="3.35546875" customWidth="1"/>
    <col min="534" max="534" width="4.85546875" customWidth="1"/>
    <col min="535" max="535" width="10.640625" customWidth="1"/>
    <col min="536" max="536" width="7.140625" customWidth="1"/>
    <col min="537" max="537" width="8.140625" customWidth="1"/>
    <col min="538" max="538" width="7.640625" customWidth="1"/>
    <col min="539" max="540" width="7.7109375" customWidth="1"/>
    <col min="541" max="541" width="7.140625" customWidth="1"/>
    <col min="768" max="768" width="4.35546875" customWidth="1"/>
    <col min="769" max="769" width="20.640625" customWidth="1"/>
    <col min="770" max="770" width="12.35546875" customWidth="1"/>
    <col min="771" max="771" width="12.640625" customWidth="1"/>
    <col min="772" max="772" width="3.85546875" customWidth="1"/>
    <col min="773" max="773" width="4.2109375" customWidth="1"/>
    <col min="774" max="774" width="4.140625" customWidth="1"/>
    <col min="775" max="775" width="4" customWidth="1"/>
    <col min="776" max="776" width="16.35546875" customWidth="1"/>
    <col min="777" max="777" width="5.640625" customWidth="1"/>
    <col min="778" max="778" width="8.7109375" customWidth="1"/>
    <col min="779" max="779" width="5.35546875" customWidth="1"/>
    <col min="780" max="780" width="4.35546875" customWidth="1"/>
    <col min="781" max="781" width="4.2109375" customWidth="1"/>
    <col min="782" max="782" width="3.140625" customWidth="1"/>
    <col min="783" max="783" width="4.640625" customWidth="1"/>
    <col min="784" max="784" width="4.35546875" customWidth="1"/>
    <col min="785" max="785" width="4" customWidth="1"/>
    <col min="786" max="786" width="3" customWidth="1"/>
    <col min="787" max="787" width="3.85546875" customWidth="1"/>
    <col min="788" max="788" width="4.35546875" customWidth="1"/>
    <col min="789" max="789" width="3.35546875" customWidth="1"/>
    <col min="790" max="790" width="4.85546875" customWidth="1"/>
    <col min="791" max="791" width="10.640625" customWidth="1"/>
    <col min="792" max="792" width="7.140625" customWidth="1"/>
    <col min="793" max="793" width="8.140625" customWidth="1"/>
    <col min="794" max="794" width="7.640625" customWidth="1"/>
    <col min="795" max="796" width="7.7109375" customWidth="1"/>
    <col min="797" max="797" width="7.140625" customWidth="1"/>
    <col min="1024" max="1024" width="4.35546875" customWidth="1"/>
    <col min="1025" max="1025" width="20.640625" customWidth="1"/>
    <col min="1026" max="1026" width="12.35546875" customWidth="1"/>
    <col min="1027" max="1027" width="12.640625" customWidth="1"/>
    <col min="1028" max="1028" width="3.85546875" customWidth="1"/>
    <col min="1029" max="1029" width="4.2109375" customWidth="1"/>
    <col min="1030" max="1030" width="4.140625" customWidth="1"/>
    <col min="1031" max="1031" width="4" customWidth="1"/>
    <col min="1032" max="1032" width="16.35546875" customWidth="1"/>
    <col min="1033" max="1033" width="5.640625" customWidth="1"/>
    <col min="1034" max="1034" width="8.7109375" customWidth="1"/>
    <col min="1035" max="1035" width="5.35546875" customWidth="1"/>
    <col min="1036" max="1036" width="4.35546875" customWidth="1"/>
    <col min="1037" max="1037" width="4.2109375" customWidth="1"/>
    <col min="1038" max="1038" width="3.140625" customWidth="1"/>
    <col min="1039" max="1039" width="4.640625" customWidth="1"/>
    <col min="1040" max="1040" width="4.35546875" customWidth="1"/>
    <col min="1041" max="1041" width="4" customWidth="1"/>
    <col min="1042" max="1042" width="3" customWidth="1"/>
    <col min="1043" max="1043" width="3.85546875" customWidth="1"/>
    <col min="1044" max="1044" width="4.35546875" customWidth="1"/>
    <col min="1045" max="1045" width="3.35546875" customWidth="1"/>
    <col min="1046" max="1046" width="4.85546875" customWidth="1"/>
    <col min="1047" max="1047" width="10.640625" customWidth="1"/>
    <col min="1048" max="1048" width="7.140625" customWidth="1"/>
    <col min="1049" max="1049" width="8.140625" customWidth="1"/>
    <col min="1050" max="1050" width="7.640625" customWidth="1"/>
    <col min="1051" max="1052" width="7.7109375" customWidth="1"/>
    <col min="1053" max="1053" width="7.140625" customWidth="1"/>
    <col min="1280" max="1280" width="4.35546875" customWidth="1"/>
    <col min="1281" max="1281" width="20.640625" customWidth="1"/>
    <col min="1282" max="1282" width="12.35546875" customWidth="1"/>
    <col min="1283" max="1283" width="12.640625" customWidth="1"/>
    <col min="1284" max="1284" width="3.85546875" customWidth="1"/>
    <col min="1285" max="1285" width="4.2109375" customWidth="1"/>
    <col min="1286" max="1286" width="4.140625" customWidth="1"/>
    <col min="1287" max="1287" width="4" customWidth="1"/>
    <col min="1288" max="1288" width="16.35546875" customWidth="1"/>
    <col min="1289" max="1289" width="5.640625" customWidth="1"/>
    <col min="1290" max="1290" width="8.7109375" customWidth="1"/>
    <col min="1291" max="1291" width="5.35546875" customWidth="1"/>
    <col min="1292" max="1292" width="4.35546875" customWidth="1"/>
    <col min="1293" max="1293" width="4.2109375" customWidth="1"/>
    <col min="1294" max="1294" width="3.140625" customWidth="1"/>
    <col min="1295" max="1295" width="4.640625" customWidth="1"/>
    <col min="1296" max="1296" width="4.35546875" customWidth="1"/>
    <col min="1297" max="1297" width="4" customWidth="1"/>
    <col min="1298" max="1298" width="3" customWidth="1"/>
    <col min="1299" max="1299" width="3.85546875" customWidth="1"/>
    <col min="1300" max="1300" width="4.35546875" customWidth="1"/>
    <col min="1301" max="1301" width="3.35546875" customWidth="1"/>
    <col min="1302" max="1302" width="4.85546875" customWidth="1"/>
    <col min="1303" max="1303" width="10.640625" customWidth="1"/>
    <col min="1304" max="1304" width="7.140625" customWidth="1"/>
    <col min="1305" max="1305" width="8.140625" customWidth="1"/>
    <col min="1306" max="1306" width="7.640625" customWidth="1"/>
    <col min="1307" max="1308" width="7.7109375" customWidth="1"/>
    <col min="1309" max="1309" width="7.140625" customWidth="1"/>
    <col min="1536" max="1536" width="4.35546875" customWidth="1"/>
    <col min="1537" max="1537" width="20.640625" customWidth="1"/>
    <col min="1538" max="1538" width="12.35546875" customWidth="1"/>
    <col min="1539" max="1539" width="12.640625" customWidth="1"/>
    <col min="1540" max="1540" width="3.85546875" customWidth="1"/>
    <col min="1541" max="1541" width="4.2109375" customWidth="1"/>
    <col min="1542" max="1542" width="4.140625" customWidth="1"/>
    <col min="1543" max="1543" width="4" customWidth="1"/>
    <col min="1544" max="1544" width="16.35546875" customWidth="1"/>
    <col min="1545" max="1545" width="5.640625" customWidth="1"/>
    <col min="1546" max="1546" width="8.7109375" customWidth="1"/>
    <col min="1547" max="1547" width="5.35546875" customWidth="1"/>
    <col min="1548" max="1548" width="4.35546875" customWidth="1"/>
    <col min="1549" max="1549" width="4.2109375" customWidth="1"/>
    <col min="1550" max="1550" width="3.140625" customWidth="1"/>
    <col min="1551" max="1551" width="4.640625" customWidth="1"/>
    <col min="1552" max="1552" width="4.35546875" customWidth="1"/>
    <col min="1553" max="1553" width="4" customWidth="1"/>
    <col min="1554" max="1554" width="3" customWidth="1"/>
    <col min="1555" max="1555" width="3.85546875" customWidth="1"/>
    <col min="1556" max="1556" width="4.35546875" customWidth="1"/>
    <col min="1557" max="1557" width="3.35546875" customWidth="1"/>
    <col min="1558" max="1558" width="4.85546875" customWidth="1"/>
    <col min="1559" max="1559" width="10.640625" customWidth="1"/>
    <col min="1560" max="1560" width="7.140625" customWidth="1"/>
    <col min="1561" max="1561" width="8.140625" customWidth="1"/>
    <col min="1562" max="1562" width="7.640625" customWidth="1"/>
    <col min="1563" max="1564" width="7.7109375" customWidth="1"/>
    <col min="1565" max="1565" width="7.140625" customWidth="1"/>
    <col min="1792" max="1792" width="4.35546875" customWidth="1"/>
    <col min="1793" max="1793" width="20.640625" customWidth="1"/>
    <col min="1794" max="1794" width="12.35546875" customWidth="1"/>
    <col min="1795" max="1795" width="12.640625" customWidth="1"/>
    <col min="1796" max="1796" width="3.85546875" customWidth="1"/>
    <col min="1797" max="1797" width="4.2109375" customWidth="1"/>
    <col min="1798" max="1798" width="4.140625" customWidth="1"/>
    <col min="1799" max="1799" width="4" customWidth="1"/>
    <col min="1800" max="1800" width="16.35546875" customWidth="1"/>
    <col min="1801" max="1801" width="5.640625" customWidth="1"/>
    <col min="1802" max="1802" width="8.7109375" customWidth="1"/>
    <col min="1803" max="1803" width="5.35546875" customWidth="1"/>
    <col min="1804" max="1804" width="4.35546875" customWidth="1"/>
    <col min="1805" max="1805" width="4.2109375" customWidth="1"/>
    <col min="1806" max="1806" width="3.140625" customWidth="1"/>
    <col min="1807" max="1807" width="4.640625" customWidth="1"/>
    <col min="1808" max="1808" width="4.35546875" customWidth="1"/>
    <col min="1809" max="1809" width="4" customWidth="1"/>
    <col min="1810" max="1810" width="3" customWidth="1"/>
    <col min="1811" max="1811" width="3.85546875" customWidth="1"/>
    <col min="1812" max="1812" width="4.35546875" customWidth="1"/>
    <col min="1813" max="1813" width="3.35546875" customWidth="1"/>
    <col min="1814" max="1814" width="4.85546875" customWidth="1"/>
    <col min="1815" max="1815" width="10.640625" customWidth="1"/>
    <col min="1816" max="1816" width="7.140625" customWidth="1"/>
    <col min="1817" max="1817" width="8.140625" customWidth="1"/>
    <col min="1818" max="1818" width="7.640625" customWidth="1"/>
    <col min="1819" max="1820" width="7.7109375" customWidth="1"/>
    <col min="1821" max="1821" width="7.140625" customWidth="1"/>
    <col min="2048" max="2048" width="4.35546875" customWidth="1"/>
    <col min="2049" max="2049" width="20.640625" customWidth="1"/>
    <col min="2050" max="2050" width="12.35546875" customWidth="1"/>
    <col min="2051" max="2051" width="12.640625" customWidth="1"/>
    <col min="2052" max="2052" width="3.85546875" customWidth="1"/>
    <col min="2053" max="2053" width="4.2109375" customWidth="1"/>
    <col min="2054" max="2054" width="4.140625" customWidth="1"/>
    <col min="2055" max="2055" width="4" customWidth="1"/>
    <col min="2056" max="2056" width="16.35546875" customWidth="1"/>
    <col min="2057" max="2057" width="5.640625" customWidth="1"/>
    <col min="2058" max="2058" width="8.7109375" customWidth="1"/>
    <col min="2059" max="2059" width="5.35546875" customWidth="1"/>
    <col min="2060" max="2060" width="4.35546875" customWidth="1"/>
    <col min="2061" max="2061" width="4.2109375" customWidth="1"/>
    <col min="2062" max="2062" width="3.140625" customWidth="1"/>
    <col min="2063" max="2063" width="4.640625" customWidth="1"/>
    <col min="2064" max="2064" width="4.35546875" customWidth="1"/>
    <col min="2065" max="2065" width="4" customWidth="1"/>
    <col min="2066" max="2066" width="3" customWidth="1"/>
    <col min="2067" max="2067" width="3.85546875" customWidth="1"/>
    <col min="2068" max="2068" width="4.35546875" customWidth="1"/>
    <col min="2069" max="2069" width="3.35546875" customWidth="1"/>
    <col min="2070" max="2070" width="4.85546875" customWidth="1"/>
    <col min="2071" max="2071" width="10.640625" customWidth="1"/>
    <col min="2072" max="2072" width="7.140625" customWidth="1"/>
    <col min="2073" max="2073" width="8.140625" customWidth="1"/>
    <col min="2074" max="2074" width="7.640625" customWidth="1"/>
    <col min="2075" max="2076" width="7.7109375" customWidth="1"/>
    <col min="2077" max="2077" width="7.140625" customWidth="1"/>
    <col min="2304" max="2304" width="4.35546875" customWidth="1"/>
    <col min="2305" max="2305" width="20.640625" customWidth="1"/>
    <col min="2306" max="2306" width="12.35546875" customWidth="1"/>
    <col min="2307" max="2307" width="12.640625" customWidth="1"/>
    <col min="2308" max="2308" width="3.85546875" customWidth="1"/>
    <col min="2309" max="2309" width="4.2109375" customWidth="1"/>
    <col min="2310" max="2310" width="4.140625" customWidth="1"/>
    <col min="2311" max="2311" width="4" customWidth="1"/>
    <col min="2312" max="2312" width="16.35546875" customWidth="1"/>
    <col min="2313" max="2313" width="5.640625" customWidth="1"/>
    <col min="2314" max="2314" width="8.7109375" customWidth="1"/>
    <col min="2315" max="2315" width="5.35546875" customWidth="1"/>
    <col min="2316" max="2316" width="4.35546875" customWidth="1"/>
    <col min="2317" max="2317" width="4.2109375" customWidth="1"/>
    <col min="2318" max="2318" width="3.140625" customWidth="1"/>
    <col min="2319" max="2319" width="4.640625" customWidth="1"/>
    <col min="2320" max="2320" width="4.35546875" customWidth="1"/>
    <col min="2321" max="2321" width="4" customWidth="1"/>
    <col min="2322" max="2322" width="3" customWidth="1"/>
    <col min="2323" max="2323" width="3.85546875" customWidth="1"/>
    <col min="2324" max="2324" width="4.35546875" customWidth="1"/>
    <col min="2325" max="2325" width="3.35546875" customWidth="1"/>
    <col min="2326" max="2326" width="4.85546875" customWidth="1"/>
    <col min="2327" max="2327" width="10.640625" customWidth="1"/>
    <col min="2328" max="2328" width="7.140625" customWidth="1"/>
    <col min="2329" max="2329" width="8.140625" customWidth="1"/>
    <col min="2330" max="2330" width="7.640625" customWidth="1"/>
    <col min="2331" max="2332" width="7.7109375" customWidth="1"/>
    <col min="2333" max="2333" width="7.140625" customWidth="1"/>
    <col min="2560" max="2560" width="4.35546875" customWidth="1"/>
    <col min="2561" max="2561" width="20.640625" customWidth="1"/>
    <col min="2562" max="2562" width="12.35546875" customWidth="1"/>
    <col min="2563" max="2563" width="12.640625" customWidth="1"/>
    <col min="2564" max="2564" width="3.85546875" customWidth="1"/>
    <col min="2565" max="2565" width="4.2109375" customWidth="1"/>
    <col min="2566" max="2566" width="4.140625" customWidth="1"/>
    <col min="2567" max="2567" width="4" customWidth="1"/>
    <col min="2568" max="2568" width="16.35546875" customWidth="1"/>
    <col min="2569" max="2569" width="5.640625" customWidth="1"/>
    <col min="2570" max="2570" width="8.7109375" customWidth="1"/>
    <col min="2571" max="2571" width="5.35546875" customWidth="1"/>
    <col min="2572" max="2572" width="4.35546875" customWidth="1"/>
    <col min="2573" max="2573" width="4.2109375" customWidth="1"/>
    <col min="2574" max="2574" width="3.140625" customWidth="1"/>
    <col min="2575" max="2575" width="4.640625" customWidth="1"/>
    <col min="2576" max="2576" width="4.35546875" customWidth="1"/>
    <col min="2577" max="2577" width="4" customWidth="1"/>
    <col min="2578" max="2578" width="3" customWidth="1"/>
    <col min="2579" max="2579" width="3.85546875" customWidth="1"/>
    <col min="2580" max="2580" width="4.35546875" customWidth="1"/>
    <col min="2581" max="2581" width="3.35546875" customWidth="1"/>
    <col min="2582" max="2582" width="4.85546875" customWidth="1"/>
    <col min="2583" max="2583" width="10.640625" customWidth="1"/>
    <col min="2584" max="2584" width="7.140625" customWidth="1"/>
    <col min="2585" max="2585" width="8.140625" customWidth="1"/>
    <col min="2586" max="2586" width="7.640625" customWidth="1"/>
    <col min="2587" max="2588" width="7.7109375" customWidth="1"/>
    <col min="2589" max="2589" width="7.140625" customWidth="1"/>
    <col min="2816" max="2816" width="4.35546875" customWidth="1"/>
    <col min="2817" max="2817" width="20.640625" customWidth="1"/>
    <col min="2818" max="2818" width="12.35546875" customWidth="1"/>
    <col min="2819" max="2819" width="12.640625" customWidth="1"/>
    <col min="2820" max="2820" width="3.85546875" customWidth="1"/>
    <col min="2821" max="2821" width="4.2109375" customWidth="1"/>
    <col min="2822" max="2822" width="4.140625" customWidth="1"/>
    <col min="2823" max="2823" width="4" customWidth="1"/>
    <col min="2824" max="2824" width="16.35546875" customWidth="1"/>
    <col min="2825" max="2825" width="5.640625" customWidth="1"/>
    <col min="2826" max="2826" width="8.7109375" customWidth="1"/>
    <col min="2827" max="2827" width="5.35546875" customWidth="1"/>
    <col min="2828" max="2828" width="4.35546875" customWidth="1"/>
    <col min="2829" max="2829" width="4.2109375" customWidth="1"/>
    <col min="2830" max="2830" width="3.140625" customWidth="1"/>
    <col min="2831" max="2831" width="4.640625" customWidth="1"/>
    <col min="2832" max="2832" width="4.35546875" customWidth="1"/>
    <col min="2833" max="2833" width="4" customWidth="1"/>
    <col min="2834" max="2834" width="3" customWidth="1"/>
    <col min="2835" max="2835" width="3.85546875" customWidth="1"/>
    <col min="2836" max="2836" width="4.35546875" customWidth="1"/>
    <col min="2837" max="2837" width="3.35546875" customWidth="1"/>
    <col min="2838" max="2838" width="4.85546875" customWidth="1"/>
    <col min="2839" max="2839" width="10.640625" customWidth="1"/>
    <col min="2840" max="2840" width="7.140625" customWidth="1"/>
    <col min="2841" max="2841" width="8.140625" customWidth="1"/>
    <col min="2842" max="2842" width="7.640625" customWidth="1"/>
    <col min="2843" max="2844" width="7.7109375" customWidth="1"/>
    <col min="2845" max="2845" width="7.140625" customWidth="1"/>
    <col min="3072" max="3072" width="4.35546875" customWidth="1"/>
    <col min="3073" max="3073" width="20.640625" customWidth="1"/>
    <col min="3074" max="3074" width="12.35546875" customWidth="1"/>
    <col min="3075" max="3075" width="12.640625" customWidth="1"/>
    <col min="3076" max="3076" width="3.85546875" customWidth="1"/>
    <col min="3077" max="3077" width="4.2109375" customWidth="1"/>
    <col min="3078" max="3078" width="4.140625" customWidth="1"/>
    <col min="3079" max="3079" width="4" customWidth="1"/>
    <col min="3080" max="3080" width="16.35546875" customWidth="1"/>
    <col min="3081" max="3081" width="5.640625" customWidth="1"/>
    <col min="3082" max="3082" width="8.7109375" customWidth="1"/>
    <col min="3083" max="3083" width="5.35546875" customWidth="1"/>
    <col min="3084" max="3084" width="4.35546875" customWidth="1"/>
    <col min="3085" max="3085" width="4.2109375" customWidth="1"/>
    <col min="3086" max="3086" width="3.140625" customWidth="1"/>
    <col min="3087" max="3087" width="4.640625" customWidth="1"/>
    <col min="3088" max="3088" width="4.35546875" customWidth="1"/>
    <col min="3089" max="3089" width="4" customWidth="1"/>
    <col min="3090" max="3090" width="3" customWidth="1"/>
    <col min="3091" max="3091" width="3.85546875" customWidth="1"/>
    <col min="3092" max="3092" width="4.35546875" customWidth="1"/>
    <col min="3093" max="3093" width="3.35546875" customWidth="1"/>
    <col min="3094" max="3094" width="4.85546875" customWidth="1"/>
    <col min="3095" max="3095" width="10.640625" customWidth="1"/>
    <col min="3096" max="3096" width="7.140625" customWidth="1"/>
    <col min="3097" max="3097" width="8.140625" customWidth="1"/>
    <col min="3098" max="3098" width="7.640625" customWidth="1"/>
    <col min="3099" max="3100" width="7.7109375" customWidth="1"/>
    <col min="3101" max="3101" width="7.140625" customWidth="1"/>
    <col min="3328" max="3328" width="4.35546875" customWidth="1"/>
    <col min="3329" max="3329" width="20.640625" customWidth="1"/>
    <col min="3330" max="3330" width="12.35546875" customWidth="1"/>
    <col min="3331" max="3331" width="12.640625" customWidth="1"/>
    <col min="3332" max="3332" width="3.85546875" customWidth="1"/>
    <col min="3333" max="3333" width="4.2109375" customWidth="1"/>
    <col min="3334" max="3334" width="4.140625" customWidth="1"/>
    <col min="3335" max="3335" width="4" customWidth="1"/>
    <col min="3336" max="3336" width="16.35546875" customWidth="1"/>
    <col min="3337" max="3337" width="5.640625" customWidth="1"/>
    <col min="3338" max="3338" width="8.7109375" customWidth="1"/>
    <col min="3339" max="3339" width="5.35546875" customWidth="1"/>
    <col min="3340" max="3340" width="4.35546875" customWidth="1"/>
    <col min="3341" max="3341" width="4.2109375" customWidth="1"/>
    <col min="3342" max="3342" width="3.140625" customWidth="1"/>
    <col min="3343" max="3343" width="4.640625" customWidth="1"/>
    <col min="3344" max="3344" width="4.35546875" customWidth="1"/>
    <col min="3345" max="3345" width="4" customWidth="1"/>
    <col min="3346" max="3346" width="3" customWidth="1"/>
    <col min="3347" max="3347" width="3.85546875" customWidth="1"/>
    <col min="3348" max="3348" width="4.35546875" customWidth="1"/>
    <col min="3349" max="3349" width="3.35546875" customWidth="1"/>
    <col min="3350" max="3350" width="4.85546875" customWidth="1"/>
    <col min="3351" max="3351" width="10.640625" customWidth="1"/>
    <col min="3352" max="3352" width="7.140625" customWidth="1"/>
    <col min="3353" max="3353" width="8.140625" customWidth="1"/>
    <col min="3354" max="3354" width="7.640625" customWidth="1"/>
    <col min="3355" max="3356" width="7.7109375" customWidth="1"/>
    <col min="3357" max="3357" width="7.140625" customWidth="1"/>
    <col min="3584" max="3584" width="4.35546875" customWidth="1"/>
    <col min="3585" max="3585" width="20.640625" customWidth="1"/>
    <col min="3586" max="3586" width="12.35546875" customWidth="1"/>
    <col min="3587" max="3587" width="12.640625" customWidth="1"/>
    <col min="3588" max="3588" width="3.85546875" customWidth="1"/>
    <col min="3589" max="3589" width="4.2109375" customWidth="1"/>
    <col min="3590" max="3590" width="4.140625" customWidth="1"/>
    <col min="3591" max="3591" width="4" customWidth="1"/>
    <col min="3592" max="3592" width="16.35546875" customWidth="1"/>
    <col min="3593" max="3593" width="5.640625" customWidth="1"/>
    <col min="3594" max="3594" width="8.7109375" customWidth="1"/>
    <col min="3595" max="3595" width="5.35546875" customWidth="1"/>
    <col min="3596" max="3596" width="4.35546875" customWidth="1"/>
    <col min="3597" max="3597" width="4.2109375" customWidth="1"/>
    <col min="3598" max="3598" width="3.140625" customWidth="1"/>
    <col min="3599" max="3599" width="4.640625" customWidth="1"/>
    <col min="3600" max="3600" width="4.35546875" customWidth="1"/>
    <col min="3601" max="3601" width="4" customWidth="1"/>
    <col min="3602" max="3602" width="3" customWidth="1"/>
    <col min="3603" max="3603" width="3.85546875" customWidth="1"/>
    <col min="3604" max="3604" width="4.35546875" customWidth="1"/>
    <col min="3605" max="3605" width="3.35546875" customWidth="1"/>
    <col min="3606" max="3606" width="4.85546875" customWidth="1"/>
    <col min="3607" max="3607" width="10.640625" customWidth="1"/>
    <col min="3608" max="3608" width="7.140625" customWidth="1"/>
    <col min="3609" max="3609" width="8.140625" customWidth="1"/>
    <col min="3610" max="3610" width="7.640625" customWidth="1"/>
    <col min="3611" max="3612" width="7.7109375" customWidth="1"/>
    <col min="3613" max="3613" width="7.140625" customWidth="1"/>
    <col min="3840" max="3840" width="4.35546875" customWidth="1"/>
    <col min="3841" max="3841" width="20.640625" customWidth="1"/>
    <col min="3842" max="3842" width="12.35546875" customWidth="1"/>
    <col min="3843" max="3843" width="12.640625" customWidth="1"/>
    <col min="3844" max="3844" width="3.85546875" customWidth="1"/>
    <col min="3845" max="3845" width="4.2109375" customWidth="1"/>
    <col min="3846" max="3846" width="4.140625" customWidth="1"/>
    <col min="3847" max="3847" width="4" customWidth="1"/>
    <col min="3848" max="3848" width="16.35546875" customWidth="1"/>
    <col min="3849" max="3849" width="5.640625" customWidth="1"/>
    <col min="3850" max="3850" width="8.7109375" customWidth="1"/>
    <col min="3851" max="3851" width="5.35546875" customWidth="1"/>
    <col min="3852" max="3852" width="4.35546875" customWidth="1"/>
    <col min="3853" max="3853" width="4.2109375" customWidth="1"/>
    <col min="3854" max="3854" width="3.140625" customWidth="1"/>
    <col min="3855" max="3855" width="4.640625" customWidth="1"/>
    <col min="3856" max="3856" width="4.35546875" customWidth="1"/>
    <col min="3857" max="3857" width="4" customWidth="1"/>
    <col min="3858" max="3858" width="3" customWidth="1"/>
    <col min="3859" max="3859" width="3.85546875" customWidth="1"/>
    <col min="3860" max="3860" width="4.35546875" customWidth="1"/>
    <col min="3861" max="3861" width="3.35546875" customWidth="1"/>
    <col min="3862" max="3862" width="4.85546875" customWidth="1"/>
    <col min="3863" max="3863" width="10.640625" customWidth="1"/>
    <col min="3864" max="3864" width="7.140625" customWidth="1"/>
    <col min="3865" max="3865" width="8.140625" customWidth="1"/>
    <col min="3866" max="3866" width="7.640625" customWidth="1"/>
    <col min="3867" max="3868" width="7.7109375" customWidth="1"/>
    <col min="3869" max="3869" width="7.140625" customWidth="1"/>
    <col min="4096" max="4096" width="4.35546875" customWidth="1"/>
    <col min="4097" max="4097" width="20.640625" customWidth="1"/>
    <col min="4098" max="4098" width="12.35546875" customWidth="1"/>
    <col min="4099" max="4099" width="12.640625" customWidth="1"/>
    <col min="4100" max="4100" width="3.85546875" customWidth="1"/>
    <col min="4101" max="4101" width="4.2109375" customWidth="1"/>
    <col min="4102" max="4102" width="4.140625" customWidth="1"/>
    <col min="4103" max="4103" width="4" customWidth="1"/>
    <col min="4104" max="4104" width="16.35546875" customWidth="1"/>
    <col min="4105" max="4105" width="5.640625" customWidth="1"/>
    <col min="4106" max="4106" width="8.7109375" customWidth="1"/>
    <col min="4107" max="4107" width="5.35546875" customWidth="1"/>
    <col min="4108" max="4108" width="4.35546875" customWidth="1"/>
    <col min="4109" max="4109" width="4.2109375" customWidth="1"/>
    <col min="4110" max="4110" width="3.140625" customWidth="1"/>
    <col min="4111" max="4111" width="4.640625" customWidth="1"/>
    <col min="4112" max="4112" width="4.35546875" customWidth="1"/>
    <col min="4113" max="4113" width="4" customWidth="1"/>
    <col min="4114" max="4114" width="3" customWidth="1"/>
    <col min="4115" max="4115" width="3.85546875" customWidth="1"/>
    <col min="4116" max="4116" width="4.35546875" customWidth="1"/>
    <col min="4117" max="4117" width="3.35546875" customWidth="1"/>
    <col min="4118" max="4118" width="4.85546875" customWidth="1"/>
    <col min="4119" max="4119" width="10.640625" customWidth="1"/>
    <col min="4120" max="4120" width="7.140625" customWidth="1"/>
    <col min="4121" max="4121" width="8.140625" customWidth="1"/>
    <col min="4122" max="4122" width="7.640625" customWidth="1"/>
    <col min="4123" max="4124" width="7.7109375" customWidth="1"/>
    <col min="4125" max="4125" width="7.140625" customWidth="1"/>
    <col min="4352" max="4352" width="4.35546875" customWidth="1"/>
    <col min="4353" max="4353" width="20.640625" customWidth="1"/>
    <col min="4354" max="4354" width="12.35546875" customWidth="1"/>
    <col min="4355" max="4355" width="12.640625" customWidth="1"/>
    <col min="4356" max="4356" width="3.85546875" customWidth="1"/>
    <col min="4357" max="4357" width="4.2109375" customWidth="1"/>
    <col min="4358" max="4358" width="4.140625" customWidth="1"/>
    <col min="4359" max="4359" width="4" customWidth="1"/>
    <col min="4360" max="4360" width="16.35546875" customWidth="1"/>
    <col min="4361" max="4361" width="5.640625" customWidth="1"/>
    <col min="4362" max="4362" width="8.7109375" customWidth="1"/>
    <col min="4363" max="4363" width="5.35546875" customWidth="1"/>
    <col min="4364" max="4364" width="4.35546875" customWidth="1"/>
    <col min="4365" max="4365" width="4.2109375" customWidth="1"/>
    <col min="4366" max="4366" width="3.140625" customWidth="1"/>
    <col min="4367" max="4367" width="4.640625" customWidth="1"/>
    <col min="4368" max="4368" width="4.35546875" customWidth="1"/>
    <col min="4369" max="4369" width="4" customWidth="1"/>
    <col min="4370" max="4370" width="3" customWidth="1"/>
    <col min="4371" max="4371" width="3.85546875" customWidth="1"/>
    <col min="4372" max="4372" width="4.35546875" customWidth="1"/>
    <col min="4373" max="4373" width="3.35546875" customWidth="1"/>
    <col min="4374" max="4374" width="4.85546875" customWidth="1"/>
    <col min="4375" max="4375" width="10.640625" customWidth="1"/>
    <col min="4376" max="4376" width="7.140625" customWidth="1"/>
    <col min="4377" max="4377" width="8.140625" customWidth="1"/>
    <col min="4378" max="4378" width="7.640625" customWidth="1"/>
    <col min="4379" max="4380" width="7.7109375" customWidth="1"/>
    <col min="4381" max="4381" width="7.140625" customWidth="1"/>
    <col min="4608" max="4608" width="4.35546875" customWidth="1"/>
    <col min="4609" max="4609" width="20.640625" customWidth="1"/>
    <col min="4610" max="4610" width="12.35546875" customWidth="1"/>
    <col min="4611" max="4611" width="12.640625" customWidth="1"/>
    <col min="4612" max="4612" width="3.85546875" customWidth="1"/>
    <col min="4613" max="4613" width="4.2109375" customWidth="1"/>
    <col min="4614" max="4614" width="4.140625" customWidth="1"/>
    <col min="4615" max="4615" width="4" customWidth="1"/>
    <col min="4616" max="4616" width="16.35546875" customWidth="1"/>
    <col min="4617" max="4617" width="5.640625" customWidth="1"/>
    <col min="4618" max="4618" width="8.7109375" customWidth="1"/>
    <col min="4619" max="4619" width="5.35546875" customWidth="1"/>
    <col min="4620" max="4620" width="4.35546875" customWidth="1"/>
    <col min="4621" max="4621" width="4.2109375" customWidth="1"/>
    <col min="4622" max="4622" width="3.140625" customWidth="1"/>
    <col min="4623" max="4623" width="4.640625" customWidth="1"/>
    <col min="4624" max="4624" width="4.35546875" customWidth="1"/>
    <col min="4625" max="4625" width="4" customWidth="1"/>
    <col min="4626" max="4626" width="3" customWidth="1"/>
    <col min="4627" max="4627" width="3.85546875" customWidth="1"/>
    <col min="4628" max="4628" width="4.35546875" customWidth="1"/>
    <col min="4629" max="4629" width="3.35546875" customWidth="1"/>
    <col min="4630" max="4630" width="4.85546875" customWidth="1"/>
    <col min="4631" max="4631" width="10.640625" customWidth="1"/>
    <col min="4632" max="4632" width="7.140625" customWidth="1"/>
    <col min="4633" max="4633" width="8.140625" customWidth="1"/>
    <col min="4634" max="4634" width="7.640625" customWidth="1"/>
    <col min="4635" max="4636" width="7.7109375" customWidth="1"/>
    <col min="4637" max="4637" width="7.140625" customWidth="1"/>
    <col min="4864" max="4864" width="4.35546875" customWidth="1"/>
    <col min="4865" max="4865" width="20.640625" customWidth="1"/>
    <col min="4866" max="4866" width="12.35546875" customWidth="1"/>
    <col min="4867" max="4867" width="12.640625" customWidth="1"/>
    <col min="4868" max="4868" width="3.85546875" customWidth="1"/>
    <col min="4869" max="4869" width="4.2109375" customWidth="1"/>
    <col min="4870" max="4870" width="4.140625" customWidth="1"/>
    <col min="4871" max="4871" width="4" customWidth="1"/>
    <col min="4872" max="4872" width="16.35546875" customWidth="1"/>
    <col min="4873" max="4873" width="5.640625" customWidth="1"/>
    <col min="4874" max="4874" width="8.7109375" customWidth="1"/>
    <col min="4875" max="4875" width="5.35546875" customWidth="1"/>
    <col min="4876" max="4876" width="4.35546875" customWidth="1"/>
    <col min="4877" max="4877" width="4.2109375" customWidth="1"/>
    <col min="4878" max="4878" width="3.140625" customWidth="1"/>
    <col min="4879" max="4879" width="4.640625" customWidth="1"/>
    <col min="4880" max="4880" width="4.35546875" customWidth="1"/>
    <col min="4881" max="4881" width="4" customWidth="1"/>
    <col min="4882" max="4882" width="3" customWidth="1"/>
    <col min="4883" max="4883" width="3.85546875" customWidth="1"/>
    <col min="4884" max="4884" width="4.35546875" customWidth="1"/>
    <col min="4885" max="4885" width="3.35546875" customWidth="1"/>
    <col min="4886" max="4886" width="4.85546875" customWidth="1"/>
    <col min="4887" max="4887" width="10.640625" customWidth="1"/>
    <col min="4888" max="4888" width="7.140625" customWidth="1"/>
    <col min="4889" max="4889" width="8.140625" customWidth="1"/>
    <col min="4890" max="4890" width="7.640625" customWidth="1"/>
    <col min="4891" max="4892" width="7.7109375" customWidth="1"/>
    <col min="4893" max="4893" width="7.140625" customWidth="1"/>
    <col min="5120" max="5120" width="4.35546875" customWidth="1"/>
    <col min="5121" max="5121" width="20.640625" customWidth="1"/>
    <col min="5122" max="5122" width="12.35546875" customWidth="1"/>
    <col min="5123" max="5123" width="12.640625" customWidth="1"/>
    <col min="5124" max="5124" width="3.85546875" customWidth="1"/>
    <col min="5125" max="5125" width="4.2109375" customWidth="1"/>
    <col min="5126" max="5126" width="4.140625" customWidth="1"/>
    <col min="5127" max="5127" width="4" customWidth="1"/>
    <col min="5128" max="5128" width="16.35546875" customWidth="1"/>
    <col min="5129" max="5129" width="5.640625" customWidth="1"/>
    <col min="5130" max="5130" width="8.7109375" customWidth="1"/>
    <col min="5131" max="5131" width="5.35546875" customWidth="1"/>
    <col min="5132" max="5132" width="4.35546875" customWidth="1"/>
    <col min="5133" max="5133" width="4.2109375" customWidth="1"/>
    <col min="5134" max="5134" width="3.140625" customWidth="1"/>
    <col min="5135" max="5135" width="4.640625" customWidth="1"/>
    <col min="5136" max="5136" width="4.35546875" customWidth="1"/>
    <col min="5137" max="5137" width="4" customWidth="1"/>
    <col min="5138" max="5138" width="3" customWidth="1"/>
    <col min="5139" max="5139" width="3.85546875" customWidth="1"/>
    <col min="5140" max="5140" width="4.35546875" customWidth="1"/>
    <col min="5141" max="5141" width="3.35546875" customWidth="1"/>
    <col min="5142" max="5142" width="4.85546875" customWidth="1"/>
    <col min="5143" max="5143" width="10.640625" customWidth="1"/>
    <col min="5144" max="5144" width="7.140625" customWidth="1"/>
    <col min="5145" max="5145" width="8.140625" customWidth="1"/>
    <col min="5146" max="5146" width="7.640625" customWidth="1"/>
    <col min="5147" max="5148" width="7.7109375" customWidth="1"/>
    <col min="5149" max="5149" width="7.140625" customWidth="1"/>
    <col min="5376" max="5376" width="4.35546875" customWidth="1"/>
    <col min="5377" max="5377" width="20.640625" customWidth="1"/>
    <col min="5378" max="5378" width="12.35546875" customWidth="1"/>
    <col min="5379" max="5379" width="12.640625" customWidth="1"/>
    <col min="5380" max="5380" width="3.85546875" customWidth="1"/>
    <col min="5381" max="5381" width="4.2109375" customWidth="1"/>
    <col min="5382" max="5382" width="4.140625" customWidth="1"/>
    <col min="5383" max="5383" width="4" customWidth="1"/>
    <col min="5384" max="5384" width="16.35546875" customWidth="1"/>
    <col min="5385" max="5385" width="5.640625" customWidth="1"/>
    <col min="5386" max="5386" width="8.7109375" customWidth="1"/>
    <col min="5387" max="5387" width="5.35546875" customWidth="1"/>
    <col min="5388" max="5388" width="4.35546875" customWidth="1"/>
    <col min="5389" max="5389" width="4.2109375" customWidth="1"/>
    <col min="5390" max="5390" width="3.140625" customWidth="1"/>
    <col min="5391" max="5391" width="4.640625" customWidth="1"/>
    <col min="5392" max="5392" width="4.35546875" customWidth="1"/>
    <col min="5393" max="5393" width="4" customWidth="1"/>
    <col min="5394" max="5394" width="3" customWidth="1"/>
    <col min="5395" max="5395" width="3.85546875" customWidth="1"/>
    <col min="5396" max="5396" width="4.35546875" customWidth="1"/>
    <col min="5397" max="5397" width="3.35546875" customWidth="1"/>
    <col min="5398" max="5398" width="4.85546875" customWidth="1"/>
    <col min="5399" max="5399" width="10.640625" customWidth="1"/>
    <col min="5400" max="5400" width="7.140625" customWidth="1"/>
    <col min="5401" max="5401" width="8.140625" customWidth="1"/>
    <col min="5402" max="5402" width="7.640625" customWidth="1"/>
    <col min="5403" max="5404" width="7.7109375" customWidth="1"/>
    <col min="5405" max="5405" width="7.140625" customWidth="1"/>
    <col min="5632" max="5632" width="4.35546875" customWidth="1"/>
    <col min="5633" max="5633" width="20.640625" customWidth="1"/>
    <col min="5634" max="5634" width="12.35546875" customWidth="1"/>
    <col min="5635" max="5635" width="12.640625" customWidth="1"/>
    <col min="5636" max="5636" width="3.85546875" customWidth="1"/>
    <col min="5637" max="5637" width="4.2109375" customWidth="1"/>
    <col min="5638" max="5638" width="4.140625" customWidth="1"/>
    <col min="5639" max="5639" width="4" customWidth="1"/>
    <col min="5640" max="5640" width="16.35546875" customWidth="1"/>
    <col min="5641" max="5641" width="5.640625" customWidth="1"/>
    <col min="5642" max="5642" width="8.7109375" customWidth="1"/>
    <col min="5643" max="5643" width="5.35546875" customWidth="1"/>
    <col min="5644" max="5644" width="4.35546875" customWidth="1"/>
    <col min="5645" max="5645" width="4.2109375" customWidth="1"/>
    <col min="5646" max="5646" width="3.140625" customWidth="1"/>
    <col min="5647" max="5647" width="4.640625" customWidth="1"/>
    <col min="5648" max="5648" width="4.35546875" customWidth="1"/>
    <col min="5649" max="5649" width="4" customWidth="1"/>
    <col min="5650" max="5650" width="3" customWidth="1"/>
    <col min="5651" max="5651" width="3.85546875" customWidth="1"/>
    <col min="5652" max="5652" width="4.35546875" customWidth="1"/>
    <col min="5653" max="5653" width="3.35546875" customWidth="1"/>
    <col min="5654" max="5654" width="4.85546875" customWidth="1"/>
    <col min="5655" max="5655" width="10.640625" customWidth="1"/>
    <col min="5656" max="5656" width="7.140625" customWidth="1"/>
    <col min="5657" max="5657" width="8.140625" customWidth="1"/>
    <col min="5658" max="5658" width="7.640625" customWidth="1"/>
    <col min="5659" max="5660" width="7.7109375" customWidth="1"/>
    <col min="5661" max="5661" width="7.140625" customWidth="1"/>
    <col min="5888" max="5888" width="4.35546875" customWidth="1"/>
    <col min="5889" max="5889" width="20.640625" customWidth="1"/>
    <col min="5890" max="5890" width="12.35546875" customWidth="1"/>
    <col min="5891" max="5891" width="12.640625" customWidth="1"/>
    <col min="5892" max="5892" width="3.85546875" customWidth="1"/>
    <col min="5893" max="5893" width="4.2109375" customWidth="1"/>
    <col min="5894" max="5894" width="4.140625" customWidth="1"/>
    <col min="5895" max="5895" width="4" customWidth="1"/>
    <col min="5896" max="5896" width="16.35546875" customWidth="1"/>
    <col min="5897" max="5897" width="5.640625" customWidth="1"/>
    <col min="5898" max="5898" width="8.7109375" customWidth="1"/>
    <col min="5899" max="5899" width="5.35546875" customWidth="1"/>
    <col min="5900" max="5900" width="4.35546875" customWidth="1"/>
    <col min="5901" max="5901" width="4.2109375" customWidth="1"/>
    <col min="5902" max="5902" width="3.140625" customWidth="1"/>
    <col min="5903" max="5903" width="4.640625" customWidth="1"/>
    <col min="5904" max="5904" width="4.35546875" customWidth="1"/>
    <col min="5905" max="5905" width="4" customWidth="1"/>
    <col min="5906" max="5906" width="3" customWidth="1"/>
    <col min="5907" max="5907" width="3.85546875" customWidth="1"/>
    <col min="5908" max="5908" width="4.35546875" customWidth="1"/>
    <col min="5909" max="5909" width="3.35546875" customWidth="1"/>
    <col min="5910" max="5910" width="4.85546875" customWidth="1"/>
    <col min="5911" max="5911" width="10.640625" customWidth="1"/>
    <col min="5912" max="5912" width="7.140625" customWidth="1"/>
    <col min="5913" max="5913" width="8.140625" customWidth="1"/>
    <col min="5914" max="5914" width="7.640625" customWidth="1"/>
    <col min="5915" max="5916" width="7.7109375" customWidth="1"/>
    <col min="5917" max="5917" width="7.140625" customWidth="1"/>
    <col min="6144" max="6144" width="4.35546875" customWidth="1"/>
    <col min="6145" max="6145" width="20.640625" customWidth="1"/>
    <col min="6146" max="6146" width="12.35546875" customWidth="1"/>
    <col min="6147" max="6147" width="12.640625" customWidth="1"/>
    <col min="6148" max="6148" width="3.85546875" customWidth="1"/>
    <col min="6149" max="6149" width="4.2109375" customWidth="1"/>
    <col min="6150" max="6150" width="4.140625" customWidth="1"/>
    <col min="6151" max="6151" width="4" customWidth="1"/>
    <col min="6152" max="6152" width="16.35546875" customWidth="1"/>
    <col min="6153" max="6153" width="5.640625" customWidth="1"/>
    <col min="6154" max="6154" width="8.7109375" customWidth="1"/>
    <col min="6155" max="6155" width="5.35546875" customWidth="1"/>
    <col min="6156" max="6156" width="4.35546875" customWidth="1"/>
    <col min="6157" max="6157" width="4.2109375" customWidth="1"/>
    <col min="6158" max="6158" width="3.140625" customWidth="1"/>
    <col min="6159" max="6159" width="4.640625" customWidth="1"/>
    <col min="6160" max="6160" width="4.35546875" customWidth="1"/>
    <col min="6161" max="6161" width="4" customWidth="1"/>
    <col min="6162" max="6162" width="3" customWidth="1"/>
    <col min="6163" max="6163" width="3.85546875" customWidth="1"/>
    <col min="6164" max="6164" width="4.35546875" customWidth="1"/>
    <col min="6165" max="6165" width="3.35546875" customWidth="1"/>
    <col min="6166" max="6166" width="4.85546875" customWidth="1"/>
    <col min="6167" max="6167" width="10.640625" customWidth="1"/>
    <col min="6168" max="6168" width="7.140625" customWidth="1"/>
    <col min="6169" max="6169" width="8.140625" customWidth="1"/>
    <col min="6170" max="6170" width="7.640625" customWidth="1"/>
    <col min="6171" max="6172" width="7.7109375" customWidth="1"/>
    <col min="6173" max="6173" width="7.140625" customWidth="1"/>
    <col min="6400" max="6400" width="4.35546875" customWidth="1"/>
    <col min="6401" max="6401" width="20.640625" customWidth="1"/>
    <col min="6402" max="6402" width="12.35546875" customWidth="1"/>
    <col min="6403" max="6403" width="12.640625" customWidth="1"/>
    <col min="6404" max="6404" width="3.85546875" customWidth="1"/>
    <col min="6405" max="6405" width="4.2109375" customWidth="1"/>
    <col min="6406" max="6406" width="4.140625" customWidth="1"/>
    <col min="6407" max="6407" width="4" customWidth="1"/>
    <col min="6408" max="6408" width="16.35546875" customWidth="1"/>
    <col min="6409" max="6409" width="5.640625" customWidth="1"/>
    <col min="6410" max="6410" width="8.7109375" customWidth="1"/>
    <col min="6411" max="6411" width="5.35546875" customWidth="1"/>
    <col min="6412" max="6412" width="4.35546875" customWidth="1"/>
    <col min="6413" max="6413" width="4.2109375" customWidth="1"/>
    <col min="6414" max="6414" width="3.140625" customWidth="1"/>
    <col min="6415" max="6415" width="4.640625" customWidth="1"/>
    <col min="6416" max="6416" width="4.35546875" customWidth="1"/>
    <col min="6417" max="6417" width="4" customWidth="1"/>
    <col min="6418" max="6418" width="3" customWidth="1"/>
    <col min="6419" max="6419" width="3.85546875" customWidth="1"/>
    <col min="6420" max="6420" width="4.35546875" customWidth="1"/>
    <col min="6421" max="6421" width="3.35546875" customWidth="1"/>
    <col min="6422" max="6422" width="4.85546875" customWidth="1"/>
    <col min="6423" max="6423" width="10.640625" customWidth="1"/>
    <col min="6424" max="6424" width="7.140625" customWidth="1"/>
    <col min="6425" max="6425" width="8.140625" customWidth="1"/>
    <col min="6426" max="6426" width="7.640625" customWidth="1"/>
    <col min="6427" max="6428" width="7.7109375" customWidth="1"/>
    <col min="6429" max="6429" width="7.140625" customWidth="1"/>
    <col min="6656" max="6656" width="4.35546875" customWidth="1"/>
    <col min="6657" max="6657" width="20.640625" customWidth="1"/>
    <col min="6658" max="6658" width="12.35546875" customWidth="1"/>
    <col min="6659" max="6659" width="12.640625" customWidth="1"/>
    <col min="6660" max="6660" width="3.85546875" customWidth="1"/>
    <col min="6661" max="6661" width="4.2109375" customWidth="1"/>
    <col min="6662" max="6662" width="4.140625" customWidth="1"/>
    <col min="6663" max="6663" width="4" customWidth="1"/>
    <col min="6664" max="6664" width="16.35546875" customWidth="1"/>
    <col min="6665" max="6665" width="5.640625" customWidth="1"/>
    <col min="6666" max="6666" width="8.7109375" customWidth="1"/>
    <col min="6667" max="6667" width="5.35546875" customWidth="1"/>
    <col min="6668" max="6668" width="4.35546875" customWidth="1"/>
    <col min="6669" max="6669" width="4.2109375" customWidth="1"/>
    <col min="6670" max="6670" width="3.140625" customWidth="1"/>
    <col min="6671" max="6671" width="4.640625" customWidth="1"/>
    <col min="6672" max="6672" width="4.35546875" customWidth="1"/>
    <col min="6673" max="6673" width="4" customWidth="1"/>
    <col min="6674" max="6674" width="3" customWidth="1"/>
    <col min="6675" max="6675" width="3.85546875" customWidth="1"/>
    <col min="6676" max="6676" width="4.35546875" customWidth="1"/>
    <col min="6677" max="6677" width="3.35546875" customWidth="1"/>
    <col min="6678" max="6678" width="4.85546875" customWidth="1"/>
    <col min="6679" max="6679" width="10.640625" customWidth="1"/>
    <col min="6680" max="6680" width="7.140625" customWidth="1"/>
    <col min="6681" max="6681" width="8.140625" customWidth="1"/>
    <col min="6682" max="6682" width="7.640625" customWidth="1"/>
    <col min="6683" max="6684" width="7.7109375" customWidth="1"/>
    <col min="6685" max="6685" width="7.140625" customWidth="1"/>
    <col min="6912" max="6912" width="4.35546875" customWidth="1"/>
    <col min="6913" max="6913" width="20.640625" customWidth="1"/>
    <col min="6914" max="6914" width="12.35546875" customWidth="1"/>
    <col min="6915" max="6915" width="12.640625" customWidth="1"/>
    <col min="6916" max="6916" width="3.85546875" customWidth="1"/>
    <col min="6917" max="6917" width="4.2109375" customWidth="1"/>
    <col min="6918" max="6918" width="4.140625" customWidth="1"/>
    <col min="6919" max="6919" width="4" customWidth="1"/>
    <col min="6920" max="6920" width="16.35546875" customWidth="1"/>
    <col min="6921" max="6921" width="5.640625" customWidth="1"/>
    <col min="6922" max="6922" width="8.7109375" customWidth="1"/>
    <col min="6923" max="6923" width="5.35546875" customWidth="1"/>
    <col min="6924" max="6924" width="4.35546875" customWidth="1"/>
    <col min="6925" max="6925" width="4.2109375" customWidth="1"/>
    <col min="6926" max="6926" width="3.140625" customWidth="1"/>
    <col min="6927" max="6927" width="4.640625" customWidth="1"/>
    <col min="6928" max="6928" width="4.35546875" customWidth="1"/>
    <col min="6929" max="6929" width="4" customWidth="1"/>
    <col min="6930" max="6930" width="3" customWidth="1"/>
    <col min="6931" max="6931" width="3.85546875" customWidth="1"/>
    <col min="6932" max="6932" width="4.35546875" customWidth="1"/>
    <col min="6933" max="6933" width="3.35546875" customWidth="1"/>
    <col min="6934" max="6934" width="4.85546875" customWidth="1"/>
    <col min="6935" max="6935" width="10.640625" customWidth="1"/>
    <col min="6936" max="6936" width="7.140625" customWidth="1"/>
    <col min="6937" max="6937" width="8.140625" customWidth="1"/>
    <col min="6938" max="6938" width="7.640625" customWidth="1"/>
    <col min="6939" max="6940" width="7.7109375" customWidth="1"/>
    <col min="6941" max="6941" width="7.140625" customWidth="1"/>
    <col min="7168" max="7168" width="4.35546875" customWidth="1"/>
    <col min="7169" max="7169" width="20.640625" customWidth="1"/>
    <col min="7170" max="7170" width="12.35546875" customWidth="1"/>
    <col min="7171" max="7171" width="12.640625" customWidth="1"/>
    <col min="7172" max="7172" width="3.85546875" customWidth="1"/>
    <col min="7173" max="7173" width="4.2109375" customWidth="1"/>
    <col min="7174" max="7174" width="4.140625" customWidth="1"/>
    <col min="7175" max="7175" width="4" customWidth="1"/>
    <col min="7176" max="7176" width="16.35546875" customWidth="1"/>
    <col min="7177" max="7177" width="5.640625" customWidth="1"/>
    <col min="7178" max="7178" width="8.7109375" customWidth="1"/>
    <col min="7179" max="7179" width="5.35546875" customWidth="1"/>
    <col min="7180" max="7180" width="4.35546875" customWidth="1"/>
    <col min="7181" max="7181" width="4.2109375" customWidth="1"/>
    <col min="7182" max="7182" width="3.140625" customWidth="1"/>
    <col min="7183" max="7183" width="4.640625" customWidth="1"/>
    <col min="7184" max="7184" width="4.35546875" customWidth="1"/>
    <col min="7185" max="7185" width="4" customWidth="1"/>
    <col min="7186" max="7186" width="3" customWidth="1"/>
    <col min="7187" max="7187" width="3.85546875" customWidth="1"/>
    <col min="7188" max="7188" width="4.35546875" customWidth="1"/>
    <col min="7189" max="7189" width="3.35546875" customWidth="1"/>
    <col min="7190" max="7190" width="4.85546875" customWidth="1"/>
    <col min="7191" max="7191" width="10.640625" customWidth="1"/>
    <col min="7192" max="7192" width="7.140625" customWidth="1"/>
    <col min="7193" max="7193" width="8.140625" customWidth="1"/>
    <col min="7194" max="7194" width="7.640625" customWidth="1"/>
    <col min="7195" max="7196" width="7.7109375" customWidth="1"/>
    <col min="7197" max="7197" width="7.140625" customWidth="1"/>
    <col min="7424" max="7424" width="4.35546875" customWidth="1"/>
    <col min="7425" max="7425" width="20.640625" customWidth="1"/>
    <col min="7426" max="7426" width="12.35546875" customWidth="1"/>
    <col min="7427" max="7427" width="12.640625" customWidth="1"/>
    <col min="7428" max="7428" width="3.85546875" customWidth="1"/>
    <col min="7429" max="7429" width="4.2109375" customWidth="1"/>
    <col min="7430" max="7430" width="4.140625" customWidth="1"/>
    <col min="7431" max="7431" width="4" customWidth="1"/>
    <col min="7432" max="7432" width="16.35546875" customWidth="1"/>
    <col min="7433" max="7433" width="5.640625" customWidth="1"/>
    <col min="7434" max="7434" width="8.7109375" customWidth="1"/>
    <col min="7435" max="7435" width="5.35546875" customWidth="1"/>
    <col min="7436" max="7436" width="4.35546875" customWidth="1"/>
    <col min="7437" max="7437" width="4.2109375" customWidth="1"/>
    <col min="7438" max="7438" width="3.140625" customWidth="1"/>
    <col min="7439" max="7439" width="4.640625" customWidth="1"/>
    <col min="7440" max="7440" width="4.35546875" customWidth="1"/>
    <col min="7441" max="7441" width="4" customWidth="1"/>
    <col min="7442" max="7442" width="3" customWidth="1"/>
    <col min="7443" max="7443" width="3.85546875" customWidth="1"/>
    <col min="7444" max="7444" width="4.35546875" customWidth="1"/>
    <col min="7445" max="7445" width="3.35546875" customWidth="1"/>
    <col min="7446" max="7446" width="4.85546875" customWidth="1"/>
    <col min="7447" max="7447" width="10.640625" customWidth="1"/>
    <col min="7448" max="7448" width="7.140625" customWidth="1"/>
    <col min="7449" max="7449" width="8.140625" customWidth="1"/>
    <col min="7450" max="7450" width="7.640625" customWidth="1"/>
    <col min="7451" max="7452" width="7.7109375" customWidth="1"/>
    <col min="7453" max="7453" width="7.140625" customWidth="1"/>
    <col min="7680" max="7680" width="4.35546875" customWidth="1"/>
    <col min="7681" max="7681" width="20.640625" customWidth="1"/>
    <col min="7682" max="7682" width="12.35546875" customWidth="1"/>
    <col min="7683" max="7683" width="12.640625" customWidth="1"/>
    <col min="7684" max="7684" width="3.85546875" customWidth="1"/>
    <col min="7685" max="7685" width="4.2109375" customWidth="1"/>
    <col min="7686" max="7686" width="4.140625" customWidth="1"/>
    <col min="7687" max="7687" width="4" customWidth="1"/>
    <col min="7688" max="7688" width="16.35546875" customWidth="1"/>
    <col min="7689" max="7689" width="5.640625" customWidth="1"/>
    <col min="7690" max="7690" width="8.7109375" customWidth="1"/>
    <col min="7691" max="7691" width="5.35546875" customWidth="1"/>
    <col min="7692" max="7692" width="4.35546875" customWidth="1"/>
    <col min="7693" max="7693" width="4.2109375" customWidth="1"/>
    <col min="7694" max="7694" width="3.140625" customWidth="1"/>
    <col min="7695" max="7695" width="4.640625" customWidth="1"/>
    <col min="7696" max="7696" width="4.35546875" customWidth="1"/>
    <col min="7697" max="7697" width="4" customWidth="1"/>
    <col min="7698" max="7698" width="3" customWidth="1"/>
    <col min="7699" max="7699" width="3.85546875" customWidth="1"/>
    <col min="7700" max="7700" width="4.35546875" customWidth="1"/>
    <col min="7701" max="7701" width="3.35546875" customWidth="1"/>
    <col min="7702" max="7702" width="4.85546875" customWidth="1"/>
    <col min="7703" max="7703" width="10.640625" customWidth="1"/>
    <col min="7704" max="7704" width="7.140625" customWidth="1"/>
    <col min="7705" max="7705" width="8.140625" customWidth="1"/>
    <col min="7706" max="7706" width="7.640625" customWidth="1"/>
    <col min="7707" max="7708" width="7.7109375" customWidth="1"/>
    <col min="7709" max="7709" width="7.140625" customWidth="1"/>
    <col min="7936" max="7936" width="4.35546875" customWidth="1"/>
    <col min="7937" max="7937" width="20.640625" customWidth="1"/>
    <col min="7938" max="7938" width="12.35546875" customWidth="1"/>
    <col min="7939" max="7939" width="12.640625" customWidth="1"/>
    <col min="7940" max="7940" width="3.85546875" customWidth="1"/>
    <col min="7941" max="7941" width="4.2109375" customWidth="1"/>
    <col min="7942" max="7942" width="4.140625" customWidth="1"/>
    <col min="7943" max="7943" width="4" customWidth="1"/>
    <col min="7944" max="7944" width="16.35546875" customWidth="1"/>
    <col min="7945" max="7945" width="5.640625" customWidth="1"/>
    <col min="7946" max="7946" width="8.7109375" customWidth="1"/>
    <col min="7947" max="7947" width="5.35546875" customWidth="1"/>
    <col min="7948" max="7948" width="4.35546875" customWidth="1"/>
    <col min="7949" max="7949" width="4.2109375" customWidth="1"/>
    <col min="7950" max="7950" width="3.140625" customWidth="1"/>
    <col min="7951" max="7951" width="4.640625" customWidth="1"/>
    <col min="7952" max="7952" width="4.35546875" customWidth="1"/>
    <col min="7953" max="7953" width="4" customWidth="1"/>
    <col min="7954" max="7954" width="3" customWidth="1"/>
    <col min="7955" max="7955" width="3.85546875" customWidth="1"/>
    <col min="7956" max="7956" width="4.35546875" customWidth="1"/>
    <col min="7957" max="7957" width="3.35546875" customWidth="1"/>
    <col min="7958" max="7958" width="4.85546875" customWidth="1"/>
    <col min="7959" max="7959" width="10.640625" customWidth="1"/>
    <col min="7960" max="7960" width="7.140625" customWidth="1"/>
    <col min="7961" max="7961" width="8.140625" customWidth="1"/>
    <col min="7962" max="7962" width="7.640625" customWidth="1"/>
    <col min="7963" max="7964" width="7.7109375" customWidth="1"/>
    <col min="7965" max="7965" width="7.140625" customWidth="1"/>
    <col min="8192" max="8192" width="4.35546875" customWidth="1"/>
    <col min="8193" max="8193" width="20.640625" customWidth="1"/>
    <col min="8194" max="8194" width="12.35546875" customWidth="1"/>
    <col min="8195" max="8195" width="12.640625" customWidth="1"/>
    <col min="8196" max="8196" width="3.85546875" customWidth="1"/>
    <col min="8197" max="8197" width="4.2109375" customWidth="1"/>
    <col min="8198" max="8198" width="4.140625" customWidth="1"/>
    <col min="8199" max="8199" width="4" customWidth="1"/>
    <col min="8200" max="8200" width="16.35546875" customWidth="1"/>
    <col min="8201" max="8201" width="5.640625" customWidth="1"/>
    <col min="8202" max="8202" width="8.7109375" customWidth="1"/>
    <col min="8203" max="8203" width="5.35546875" customWidth="1"/>
    <col min="8204" max="8204" width="4.35546875" customWidth="1"/>
    <col min="8205" max="8205" width="4.2109375" customWidth="1"/>
    <col min="8206" max="8206" width="3.140625" customWidth="1"/>
    <col min="8207" max="8207" width="4.640625" customWidth="1"/>
    <col min="8208" max="8208" width="4.35546875" customWidth="1"/>
    <col min="8209" max="8209" width="4" customWidth="1"/>
    <col min="8210" max="8210" width="3" customWidth="1"/>
    <col min="8211" max="8211" width="3.85546875" customWidth="1"/>
    <col min="8212" max="8212" width="4.35546875" customWidth="1"/>
    <col min="8213" max="8213" width="3.35546875" customWidth="1"/>
    <col min="8214" max="8214" width="4.85546875" customWidth="1"/>
    <col min="8215" max="8215" width="10.640625" customWidth="1"/>
    <col min="8216" max="8216" width="7.140625" customWidth="1"/>
    <col min="8217" max="8217" width="8.140625" customWidth="1"/>
    <col min="8218" max="8218" width="7.640625" customWidth="1"/>
    <col min="8219" max="8220" width="7.7109375" customWidth="1"/>
    <col min="8221" max="8221" width="7.140625" customWidth="1"/>
    <col min="8448" max="8448" width="4.35546875" customWidth="1"/>
    <col min="8449" max="8449" width="20.640625" customWidth="1"/>
    <col min="8450" max="8450" width="12.35546875" customWidth="1"/>
    <col min="8451" max="8451" width="12.640625" customWidth="1"/>
    <col min="8452" max="8452" width="3.85546875" customWidth="1"/>
    <col min="8453" max="8453" width="4.2109375" customWidth="1"/>
    <col min="8454" max="8454" width="4.140625" customWidth="1"/>
    <col min="8455" max="8455" width="4" customWidth="1"/>
    <col min="8456" max="8456" width="16.35546875" customWidth="1"/>
    <col min="8457" max="8457" width="5.640625" customWidth="1"/>
    <col min="8458" max="8458" width="8.7109375" customWidth="1"/>
    <col min="8459" max="8459" width="5.35546875" customWidth="1"/>
    <col min="8460" max="8460" width="4.35546875" customWidth="1"/>
    <col min="8461" max="8461" width="4.2109375" customWidth="1"/>
    <col min="8462" max="8462" width="3.140625" customWidth="1"/>
    <col min="8463" max="8463" width="4.640625" customWidth="1"/>
    <col min="8464" max="8464" width="4.35546875" customWidth="1"/>
    <col min="8465" max="8465" width="4" customWidth="1"/>
    <col min="8466" max="8466" width="3" customWidth="1"/>
    <col min="8467" max="8467" width="3.85546875" customWidth="1"/>
    <col min="8468" max="8468" width="4.35546875" customWidth="1"/>
    <col min="8469" max="8469" width="3.35546875" customWidth="1"/>
    <col min="8470" max="8470" width="4.85546875" customWidth="1"/>
    <col min="8471" max="8471" width="10.640625" customWidth="1"/>
    <col min="8472" max="8472" width="7.140625" customWidth="1"/>
    <col min="8473" max="8473" width="8.140625" customWidth="1"/>
    <col min="8474" max="8474" width="7.640625" customWidth="1"/>
    <col min="8475" max="8476" width="7.7109375" customWidth="1"/>
    <col min="8477" max="8477" width="7.140625" customWidth="1"/>
    <col min="8704" max="8704" width="4.35546875" customWidth="1"/>
    <col min="8705" max="8705" width="20.640625" customWidth="1"/>
    <col min="8706" max="8706" width="12.35546875" customWidth="1"/>
    <col min="8707" max="8707" width="12.640625" customWidth="1"/>
    <col min="8708" max="8708" width="3.85546875" customWidth="1"/>
    <col min="8709" max="8709" width="4.2109375" customWidth="1"/>
    <col min="8710" max="8710" width="4.140625" customWidth="1"/>
    <col min="8711" max="8711" width="4" customWidth="1"/>
    <col min="8712" max="8712" width="16.35546875" customWidth="1"/>
    <col min="8713" max="8713" width="5.640625" customWidth="1"/>
    <col min="8714" max="8714" width="8.7109375" customWidth="1"/>
    <col min="8715" max="8715" width="5.35546875" customWidth="1"/>
    <col min="8716" max="8716" width="4.35546875" customWidth="1"/>
    <col min="8717" max="8717" width="4.2109375" customWidth="1"/>
    <col min="8718" max="8718" width="3.140625" customWidth="1"/>
    <col min="8719" max="8719" width="4.640625" customWidth="1"/>
    <col min="8720" max="8720" width="4.35546875" customWidth="1"/>
    <col min="8721" max="8721" width="4" customWidth="1"/>
    <col min="8722" max="8722" width="3" customWidth="1"/>
    <col min="8723" max="8723" width="3.85546875" customWidth="1"/>
    <col min="8724" max="8724" width="4.35546875" customWidth="1"/>
    <col min="8725" max="8725" width="3.35546875" customWidth="1"/>
    <col min="8726" max="8726" width="4.85546875" customWidth="1"/>
    <col min="8727" max="8727" width="10.640625" customWidth="1"/>
    <col min="8728" max="8728" width="7.140625" customWidth="1"/>
    <col min="8729" max="8729" width="8.140625" customWidth="1"/>
    <col min="8730" max="8730" width="7.640625" customWidth="1"/>
    <col min="8731" max="8732" width="7.7109375" customWidth="1"/>
    <col min="8733" max="8733" width="7.140625" customWidth="1"/>
    <col min="8960" max="8960" width="4.35546875" customWidth="1"/>
    <col min="8961" max="8961" width="20.640625" customWidth="1"/>
    <col min="8962" max="8962" width="12.35546875" customWidth="1"/>
    <col min="8963" max="8963" width="12.640625" customWidth="1"/>
    <col min="8964" max="8964" width="3.85546875" customWidth="1"/>
    <col min="8965" max="8965" width="4.2109375" customWidth="1"/>
    <col min="8966" max="8966" width="4.140625" customWidth="1"/>
    <col min="8967" max="8967" width="4" customWidth="1"/>
    <col min="8968" max="8968" width="16.35546875" customWidth="1"/>
    <col min="8969" max="8969" width="5.640625" customWidth="1"/>
    <col min="8970" max="8970" width="8.7109375" customWidth="1"/>
    <col min="8971" max="8971" width="5.35546875" customWidth="1"/>
    <col min="8972" max="8972" width="4.35546875" customWidth="1"/>
    <col min="8973" max="8973" width="4.2109375" customWidth="1"/>
    <col min="8974" max="8974" width="3.140625" customWidth="1"/>
    <col min="8975" max="8975" width="4.640625" customWidth="1"/>
    <col min="8976" max="8976" width="4.35546875" customWidth="1"/>
    <col min="8977" max="8977" width="4" customWidth="1"/>
    <col min="8978" max="8978" width="3" customWidth="1"/>
    <col min="8979" max="8979" width="3.85546875" customWidth="1"/>
    <col min="8980" max="8980" width="4.35546875" customWidth="1"/>
    <col min="8981" max="8981" width="3.35546875" customWidth="1"/>
    <col min="8982" max="8982" width="4.85546875" customWidth="1"/>
    <col min="8983" max="8983" width="10.640625" customWidth="1"/>
    <col min="8984" max="8984" width="7.140625" customWidth="1"/>
    <col min="8985" max="8985" width="8.140625" customWidth="1"/>
    <col min="8986" max="8986" width="7.640625" customWidth="1"/>
    <col min="8987" max="8988" width="7.7109375" customWidth="1"/>
    <col min="8989" max="8989" width="7.140625" customWidth="1"/>
    <col min="9216" max="9216" width="4.35546875" customWidth="1"/>
    <col min="9217" max="9217" width="20.640625" customWidth="1"/>
    <col min="9218" max="9218" width="12.35546875" customWidth="1"/>
    <col min="9219" max="9219" width="12.640625" customWidth="1"/>
    <col min="9220" max="9220" width="3.85546875" customWidth="1"/>
    <col min="9221" max="9221" width="4.2109375" customWidth="1"/>
    <col min="9222" max="9222" width="4.140625" customWidth="1"/>
    <col min="9223" max="9223" width="4" customWidth="1"/>
    <col min="9224" max="9224" width="16.35546875" customWidth="1"/>
    <col min="9225" max="9225" width="5.640625" customWidth="1"/>
    <col min="9226" max="9226" width="8.7109375" customWidth="1"/>
    <col min="9227" max="9227" width="5.35546875" customWidth="1"/>
    <col min="9228" max="9228" width="4.35546875" customWidth="1"/>
    <col min="9229" max="9229" width="4.2109375" customWidth="1"/>
    <col min="9230" max="9230" width="3.140625" customWidth="1"/>
    <col min="9231" max="9231" width="4.640625" customWidth="1"/>
    <col min="9232" max="9232" width="4.35546875" customWidth="1"/>
    <col min="9233" max="9233" width="4" customWidth="1"/>
    <col min="9234" max="9234" width="3" customWidth="1"/>
    <col min="9235" max="9235" width="3.85546875" customWidth="1"/>
    <col min="9236" max="9236" width="4.35546875" customWidth="1"/>
    <col min="9237" max="9237" width="3.35546875" customWidth="1"/>
    <col min="9238" max="9238" width="4.85546875" customWidth="1"/>
    <col min="9239" max="9239" width="10.640625" customWidth="1"/>
    <col min="9240" max="9240" width="7.140625" customWidth="1"/>
    <col min="9241" max="9241" width="8.140625" customWidth="1"/>
    <col min="9242" max="9242" width="7.640625" customWidth="1"/>
    <col min="9243" max="9244" width="7.7109375" customWidth="1"/>
    <col min="9245" max="9245" width="7.140625" customWidth="1"/>
    <col min="9472" max="9472" width="4.35546875" customWidth="1"/>
    <col min="9473" max="9473" width="20.640625" customWidth="1"/>
    <col min="9474" max="9474" width="12.35546875" customWidth="1"/>
    <col min="9475" max="9475" width="12.640625" customWidth="1"/>
    <col min="9476" max="9476" width="3.85546875" customWidth="1"/>
    <col min="9477" max="9477" width="4.2109375" customWidth="1"/>
    <col min="9478" max="9478" width="4.140625" customWidth="1"/>
    <col min="9479" max="9479" width="4" customWidth="1"/>
    <col min="9480" max="9480" width="16.35546875" customWidth="1"/>
    <col min="9481" max="9481" width="5.640625" customWidth="1"/>
    <col min="9482" max="9482" width="8.7109375" customWidth="1"/>
    <col min="9483" max="9483" width="5.35546875" customWidth="1"/>
    <col min="9484" max="9484" width="4.35546875" customWidth="1"/>
    <col min="9485" max="9485" width="4.2109375" customWidth="1"/>
    <col min="9486" max="9486" width="3.140625" customWidth="1"/>
    <col min="9487" max="9487" width="4.640625" customWidth="1"/>
    <col min="9488" max="9488" width="4.35546875" customWidth="1"/>
    <col min="9489" max="9489" width="4" customWidth="1"/>
    <col min="9490" max="9490" width="3" customWidth="1"/>
    <col min="9491" max="9491" width="3.85546875" customWidth="1"/>
    <col min="9492" max="9492" width="4.35546875" customWidth="1"/>
    <col min="9493" max="9493" width="3.35546875" customWidth="1"/>
    <col min="9494" max="9494" width="4.85546875" customWidth="1"/>
    <col min="9495" max="9495" width="10.640625" customWidth="1"/>
    <col min="9496" max="9496" width="7.140625" customWidth="1"/>
    <col min="9497" max="9497" width="8.140625" customWidth="1"/>
    <col min="9498" max="9498" width="7.640625" customWidth="1"/>
    <col min="9499" max="9500" width="7.7109375" customWidth="1"/>
    <col min="9501" max="9501" width="7.140625" customWidth="1"/>
    <col min="9728" max="9728" width="4.35546875" customWidth="1"/>
    <col min="9729" max="9729" width="20.640625" customWidth="1"/>
    <col min="9730" max="9730" width="12.35546875" customWidth="1"/>
    <col min="9731" max="9731" width="12.640625" customWidth="1"/>
    <col min="9732" max="9732" width="3.85546875" customWidth="1"/>
    <col min="9733" max="9733" width="4.2109375" customWidth="1"/>
    <col min="9734" max="9734" width="4.140625" customWidth="1"/>
    <col min="9735" max="9735" width="4" customWidth="1"/>
    <col min="9736" max="9736" width="16.35546875" customWidth="1"/>
    <col min="9737" max="9737" width="5.640625" customWidth="1"/>
    <col min="9738" max="9738" width="8.7109375" customWidth="1"/>
    <col min="9739" max="9739" width="5.35546875" customWidth="1"/>
    <col min="9740" max="9740" width="4.35546875" customWidth="1"/>
    <col min="9741" max="9741" width="4.2109375" customWidth="1"/>
    <col min="9742" max="9742" width="3.140625" customWidth="1"/>
    <col min="9743" max="9743" width="4.640625" customWidth="1"/>
    <col min="9744" max="9744" width="4.35546875" customWidth="1"/>
    <col min="9745" max="9745" width="4" customWidth="1"/>
    <col min="9746" max="9746" width="3" customWidth="1"/>
    <col min="9747" max="9747" width="3.85546875" customWidth="1"/>
    <col min="9748" max="9748" width="4.35546875" customWidth="1"/>
    <col min="9749" max="9749" width="3.35546875" customWidth="1"/>
    <col min="9750" max="9750" width="4.85546875" customWidth="1"/>
    <col min="9751" max="9751" width="10.640625" customWidth="1"/>
    <col min="9752" max="9752" width="7.140625" customWidth="1"/>
    <col min="9753" max="9753" width="8.140625" customWidth="1"/>
    <col min="9754" max="9754" width="7.640625" customWidth="1"/>
    <col min="9755" max="9756" width="7.7109375" customWidth="1"/>
    <col min="9757" max="9757" width="7.140625" customWidth="1"/>
    <col min="9984" max="9984" width="4.35546875" customWidth="1"/>
    <col min="9985" max="9985" width="20.640625" customWidth="1"/>
    <col min="9986" max="9986" width="12.35546875" customWidth="1"/>
    <col min="9987" max="9987" width="12.640625" customWidth="1"/>
    <col min="9988" max="9988" width="3.85546875" customWidth="1"/>
    <col min="9989" max="9989" width="4.2109375" customWidth="1"/>
    <col min="9990" max="9990" width="4.140625" customWidth="1"/>
    <col min="9991" max="9991" width="4" customWidth="1"/>
    <col min="9992" max="9992" width="16.35546875" customWidth="1"/>
    <col min="9993" max="9993" width="5.640625" customWidth="1"/>
    <col min="9994" max="9994" width="8.7109375" customWidth="1"/>
    <col min="9995" max="9995" width="5.35546875" customWidth="1"/>
    <col min="9996" max="9996" width="4.35546875" customWidth="1"/>
    <col min="9997" max="9997" width="4.2109375" customWidth="1"/>
    <col min="9998" max="9998" width="3.140625" customWidth="1"/>
    <col min="9999" max="9999" width="4.640625" customWidth="1"/>
    <col min="10000" max="10000" width="4.35546875" customWidth="1"/>
    <col min="10001" max="10001" width="4" customWidth="1"/>
    <col min="10002" max="10002" width="3" customWidth="1"/>
    <col min="10003" max="10003" width="3.85546875" customWidth="1"/>
    <col min="10004" max="10004" width="4.35546875" customWidth="1"/>
    <col min="10005" max="10005" width="3.35546875" customWidth="1"/>
    <col min="10006" max="10006" width="4.85546875" customWidth="1"/>
    <col min="10007" max="10007" width="10.640625" customWidth="1"/>
    <col min="10008" max="10008" width="7.140625" customWidth="1"/>
    <col min="10009" max="10009" width="8.140625" customWidth="1"/>
    <col min="10010" max="10010" width="7.640625" customWidth="1"/>
    <col min="10011" max="10012" width="7.7109375" customWidth="1"/>
    <col min="10013" max="10013" width="7.140625" customWidth="1"/>
    <col min="10240" max="10240" width="4.35546875" customWidth="1"/>
    <col min="10241" max="10241" width="20.640625" customWidth="1"/>
    <col min="10242" max="10242" width="12.35546875" customWidth="1"/>
    <col min="10243" max="10243" width="12.640625" customWidth="1"/>
    <col min="10244" max="10244" width="3.85546875" customWidth="1"/>
    <col min="10245" max="10245" width="4.2109375" customWidth="1"/>
    <col min="10246" max="10246" width="4.140625" customWidth="1"/>
    <col min="10247" max="10247" width="4" customWidth="1"/>
    <col min="10248" max="10248" width="16.35546875" customWidth="1"/>
    <col min="10249" max="10249" width="5.640625" customWidth="1"/>
    <col min="10250" max="10250" width="8.7109375" customWidth="1"/>
    <col min="10251" max="10251" width="5.35546875" customWidth="1"/>
    <col min="10252" max="10252" width="4.35546875" customWidth="1"/>
    <col min="10253" max="10253" width="4.2109375" customWidth="1"/>
    <col min="10254" max="10254" width="3.140625" customWidth="1"/>
    <col min="10255" max="10255" width="4.640625" customWidth="1"/>
    <col min="10256" max="10256" width="4.35546875" customWidth="1"/>
    <col min="10257" max="10257" width="4" customWidth="1"/>
    <col min="10258" max="10258" width="3" customWidth="1"/>
    <col min="10259" max="10259" width="3.85546875" customWidth="1"/>
    <col min="10260" max="10260" width="4.35546875" customWidth="1"/>
    <col min="10261" max="10261" width="3.35546875" customWidth="1"/>
    <col min="10262" max="10262" width="4.85546875" customWidth="1"/>
    <col min="10263" max="10263" width="10.640625" customWidth="1"/>
    <col min="10264" max="10264" width="7.140625" customWidth="1"/>
    <col min="10265" max="10265" width="8.140625" customWidth="1"/>
    <col min="10266" max="10266" width="7.640625" customWidth="1"/>
    <col min="10267" max="10268" width="7.7109375" customWidth="1"/>
    <col min="10269" max="10269" width="7.140625" customWidth="1"/>
    <col min="10496" max="10496" width="4.35546875" customWidth="1"/>
    <col min="10497" max="10497" width="20.640625" customWidth="1"/>
    <col min="10498" max="10498" width="12.35546875" customWidth="1"/>
    <col min="10499" max="10499" width="12.640625" customWidth="1"/>
    <col min="10500" max="10500" width="3.85546875" customWidth="1"/>
    <col min="10501" max="10501" width="4.2109375" customWidth="1"/>
    <col min="10502" max="10502" width="4.140625" customWidth="1"/>
    <col min="10503" max="10503" width="4" customWidth="1"/>
    <col min="10504" max="10504" width="16.35546875" customWidth="1"/>
    <col min="10505" max="10505" width="5.640625" customWidth="1"/>
    <col min="10506" max="10506" width="8.7109375" customWidth="1"/>
    <col min="10507" max="10507" width="5.35546875" customWidth="1"/>
    <col min="10508" max="10508" width="4.35546875" customWidth="1"/>
    <col min="10509" max="10509" width="4.2109375" customWidth="1"/>
    <col min="10510" max="10510" width="3.140625" customWidth="1"/>
    <col min="10511" max="10511" width="4.640625" customWidth="1"/>
    <col min="10512" max="10512" width="4.35546875" customWidth="1"/>
    <col min="10513" max="10513" width="4" customWidth="1"/>
    <col min="10514" max="10514" width="3" customWidth="1"/>
    <col min="10515" max="10515" width="3.85546875" customWidth="1"/>
    <col min="10516" max="10516" width="4.35546875" customWidth="1"/>
    <col min="10517" max="10517" width="3.35546875" customWidth="1"/>
    <col min="10518" max="10518" width="4.85546875" customWidth="1"/>
    <col min="10519" max="10519" width="10.640625" customWidth="1"/>
    <col min="10520" max="10520" width="7.140625" customWidth="1"/>
    <col min="10521" max="10521" width="8.140625" customWidth="1"/>
    <col min="10522" max="10522" width="7.640625" customWidth="1"/>
    <col min="10523" max="10524" width="7.7109375" customWidth="1"/>
    <col min="10525" max="10525" width="7.140625" customWidth="1"/>
    <col min="10752" max="10752" width="4.35546875" customWidth="1"/>
    <col min="10753" max="10753" width="20.640625" customWidth="1"/>
    <col min="10754" max="10754" width="12.35546875" customWidth="1"/>
    <col min="10755" max="10755" width="12.640625" customWidth="1"/>
    <col min="10756" max="10756" width="3.85546875" customWidth="1"/>
    <col min="10757" max="10757" width="4.2109375" customWidth="1"/>
    <col min="10758" max="10758" width="4.140625" customWidth="1"/>
    <col min="10759" max="10759" width="4" customWidth="1"/>
    <col min="10760" max="10760" width="16.35546875" customWidth="1"/>
    <col min="10761" max="10761" width="5.640625" customWidth="1"/>
    <col min="10762" max="10762" width="8.7109375" customWidth="1"/>
    <col min="10763" max="10763" width="5.35546875" customWidth="1"/>
    <col min="10764" max="10764" width="4.35546875" customWidth="1"/>
    <col min="10765" max="10765" width="4.2109375" customWidth="1"/>
    <col min="10766" max="10766" width="3.140625" customWidth="1"/>
    <col min="10767" max="10767" width="4.640625" customWidth="1"/>
    <col min="10768" max="10768" width="4.35546875" customWidth="1"/>
    <col min="10769" max="10769" width="4" customWidth="1"/>
    <col min="10770" max="10770" width="3" customWidth="1"/>
    <col min="10771" max="10771" width="3.85546875" customWidth="1"/>
    <col min="10772" max="10772" width="4.35546875" customWidth="1"/>
    <col min="10773" max="10773" width="3.35546875" customWidth="1"/>
    <col min="10774" max="10774" width="4.85546875" customWidth="1"/>
    <col min="10775" max="10775" width="10.640625" customWidth="1"/>
    <col min="10776" max="10776" width="7.140625" customWidth="1"/>
    <col min="10777" max="10777" width="8.140625" customWidth="1"/>
    <col min="10778" max="10778" width="7.640625" customWidth="1"/>
    <col min="10779" max="10780" width="7.7109375" customWidth="1"/>
    <col min="10781" max="10781" width="7.140625" customWidth="1"/>
    <col min="11008" max="11008" width="4.35546875" customWidth="1"/>
    <col min="11009" max="11009" width="20.640625" customWidth="1"/>
    <col min="11010" max="11010" width="12.35546875" customWidth="1"/>
    <col min="11011" max="11011" width="12.640625" customWidth="1"/>
    <col min="11012" max="11012" width="3.85546875" customWidth="1"/>
    <col min="11013" max="11013" width="4.2109375" customWidth="1"/>
    <col min="11014" max="11014" width="4.140625" customWidth="1"/>
    <col min="11015" max="11015" width="4" customWidth="1"/>
    <col min="11016" max="11016" width="16.35546875" customWidth="1"/>
    <col min="11017" max="11017" width="5.640625" customWidth="1"/>
    <col min="11018" max="11018" width="8.7109375" customWidth="1"/>
    <col min="11019" max="11019" width="5.35546875" customWidth="1"/>
    <col min="11020" max="11020" width="4.35546875" customWidth="1"/>
    <col min="11021" max="11021" width="4.2109375" customWidth="1"/>
    <col min="11022" max="11022" width="3.140625" customWidth="1"/>
    <col min="11023" max="11023" width="4.640625" customWidth="1"/>
    <col min="11024" max="11024" width="4.35546875" customWidth="1"/>
    <col min="11025" max="11025" width="4" customWidth="1"/>
    <col min="11026" max="11026" width="3" customWidth="1"/>
    <col min="11027" max="11027" width="3.85546875" customWidth="1"/>
    <col min="11028" max="11028" width="4.35546875" customWidth="1"/>
    <col min="11029" max="11029" width="3.35546875" customWidth="1"/>
    <col min="11030" max="11030" width="4.85546875" customWidth="1"/>
    <col min="11031" max="11031" width="10.640625" customWidth="1"/>
    <col min="11032" max="11032" width="7.140625" customWidth="1"/>
    <col min="11033" max="11033" width="8.140625" customWidth="1"/>
    <col min="11034" max="11034" width="7.640625" customWidth="1"/>
    <col min="11035" max="11036" width="7.7109375" customWidth="1"/>
    <col min="11037" max="11037" width="7.140625" customWidth="1"/>
    <col min="11264" max="11264" width="4.35546875" customWidth="1"/>
    <col min="11265" max="11265" width="20.640625" customWidth="1"/>
    <col min="11266" max="11266" width="12.35546875" customWidth="1"/>
    <col min="11267" max="11267" width="12.640625" customWidth="1"/>
    <col min="11268" max="11268" width="3.85546875" customWidth="1"/>
    <col min="11269" max="11269" width="4.2109375" customWidth="1"/>
    <col min="11270" max="11270" width="4.140625" customWidth="1"/>
    <col min="11271" max="11271" width="4" customWidth="1"/>
    <col min="11272" max="11272" width="16.35546875" customWidth="1"/>
    <col min="11273" max="11273" width="5.640625" customWidth="1"/>
    <col min="11274" max="11274" width="8.7109375" customWidth="1"/>
    <col min="11275" max="11275" width="5.35546875" customWidth="1"/>
    <col min="11276" max="11276" width="4.35546875" customWidth="1"/>
    <col min="11277" max="11277" width="4.2109375" customWidth="1"/>
    <col min="11278" max="11278" width="3.140625" customWidth="1"/>
    <col min="11279" max="11279" width="4.640625" customWidth="1"/>
    <col min="11280" max="11280" width="4.35546875" customWidth="1"/>
    <col min="11281" max="11281" width="4" customWidth="1"/>
    <col min="11282" max="11282" width="3" customWidth="1"/>
    <col min="11283" max="11283" width="3.85546875" customWidth="1"/>
    <col min="11284" max="11284" width="4.35546875" customWidth="1"/>
    <col min="11285" max="11285" width="3.35546875" customWidth="1"/>
    <col min="11286" max="11286" width="4.85546875" customWidth="1"/>
    <col min="11287" max="11287" width="10.640625" customWidth="1"/>
    <col min="11288" max="11288" width="7.140625" customWidth="1"/>
    <col min="11289" max="11289" width="8.140625" customWidth="1"/>
    <col min="11290" max="11290" width="7.640625" customWidth="1"/>
    <col min="11291" max="11292" width="7.7109375" customWidth="1"/>
    <col min="11293" max="11293" width="7.140625" customWidth="1"/>
    <col min="11520" max="11520" width="4.35546875" customWidth="1"/>
    <col min="11521" max="11521" width="20.640625" customWidth="1"/>
    <col min="11522" max="11522" width="12.35546875" customWidth="1"/>
    <col min="11523" max="11523" width="12.640625" customWidth="1"/>
    <col min="11524" max="11524" width="3.85546875" customWidth="1"/>
    <col min="11525" max="11525" width="4.2109375" customWidth="1"/>
    <col min="11526" max="11526" width="4.140625" customWidth="1"/>
    <col min="11527" max="11527" width="4" customWidth="1"/>
    <col min="11528" max="11528" width="16.35546875" customWidth="1"/>
    <col min="11529" max="11529" width="5.640625" customWidth="1"/>
    <col min="11530" max="11530" width="8.7109375" customWidth="1"/>
    <col min="11531" max="11531" width="5.35546875" customWidth="1"/>
    <col min="11532" max="11532" width="4.35546875" customWidth="1"/>
    <col min="11533" max="11533" width="4.2109375" customWidth="1"/>
    <col min="11534" max="11534" width="3.140625" customWidth="1"/>
    <col min="11535" max="11535" width="4.640625" customWidth="1"/>
    <col min="11536" max="11536" width="4.35546875" customWidth="1"/>
    <col min="11537" max="11537" width="4" customWidth="1"/>
    <col min="11538" max="11538" width="3" customWidth="1"/>
    <col min="11539" max="11539" width="3.85546875" customWidth="1"/>
    <col min="11540" max="11540" width="4.35546875" customWidth="1"/>
    <col min="11541" max="11541" width="3.35546875" customWidth="1"/>
    <col min="11542" max="11542" width="4.85546875" customWidth="1"/>
    <col min="11543" max="11543" width="10.640625" customWidth="1"/>
    <col min="11544" max="11544" width="7.140625" customWidth="1"/>
    <col min="11545" max="11545" width="8.140625" customWidth="1"/>
    <col min="11546" max="11546" width="7.640625" customWidth="1"/>
    <col min="11547" max="11548" width="7.7109375" customWidth="1"/>
    <col min="11549" max="11549" width="7.140625" customWidth="1"/>
    <col min="11776" max="11776" width="4.35546875" customWidth="1"/>
    <col min="11777" max="11777" width="20.640625" customWidth="1"/>
    <col min="11778" max="11778" width="12.35546875" customWidth="1"/>
    <col min="11779" max="11779" width="12.640625" customWidth="1"/>
    <col min="11780" max="11780" width="3.85546875" customWidth="1"/>
    <col min="11781" max="11781" width="4.2109375" customWidth="1"/>
    <col min="11782" max="11782" width="4.140625" customWidth="1"/>
    <col min="11783" max="11783" width="4" customWidth="1"/>
    <col min="11784" max="11784" width="16.35546875" customWidth="1"/>
    <col min="11785" max="11785" width="5.640625" customWidth="1"/>
    <col min="11786" max="11786" width="8.7109375" customWidth="1"/>
    <col min="11787" max="11787" width="5.35546875" customWidth="1"/>
    <col min="11788" max="11788" width="4.35546875" customWidth="1"/>
    <col min="11789" max="11789" width="4.2109375" customWidth="1"/>
    <col min="11790" max="11790" width="3.140625" customWidth="1"/>
    <col min="11791" max="11791" width="4.640625" customWidth="1"/>
    <col min="11792" max="11792" width="4.35546875" customWidth="1"/>
    <col min="11793" max="11793" width="4" customWidth="1"/>
    <col min="11794" max="11794" width="3" customWidth="1"/>
    <col min="11795" max="11795" width="3.85546875" customWidth="1"/>
    <col min="11796" max="11796" width="4.35546875" customWidth="1"/>
    <col min="11797" max="11797" width="3.35546875" customWidth="1"/>
    <col min="11798" max="11798" width="4.85546875" customWidth="1"/>
    <col min="11799" max="11799" width="10.640625" customWidth="1"/>
    <col min="11800" max="11800" width="7.140625" customWidth="1"/>
    <col min="11801" max="11801" width="8.140625" customWidth="1"/>
    <col min="11802" max="11802" width="7.640625" customWidth="1"/>
    <col min="11803" max="11804" width="7.7109375" customWidth="1"/>
    <col min="11805" max="11805" width="7.140625" customWidth="1"/>
    <col min="12032" max="12032" width="4.35546875" customWidth="1"/>
    <col min="12033" max="12033" width="20.640625" customWidth="1"/>
    <col min="12034" max="12034" width="12.35546875" customWidth="1"/>
    <col min="12035" max="12035" width="12.640625" customWidth="1"/>
    <col min="12036" max="12036" width="3.85546875" customWidth="1"/>
    <col min="12037" max="12037" width="4.2109375" customWidth="1"/>
    <col min="12038" max="12038" width="4.140625" customWidth="1"/>
    <col min="12039" max="12039" width="4" customWidth="1"/>
    <col min="12040" max="12040" width="16.35546875" customWidth="1"/>
    <col min="12041" max="12041" width="5.640625" customWidth="1"/>
    <col min="12042" max="12042" width="8.7109375" customWidth="1"/>
    <col min="12043" max="12043" width="5.35546875" customWidth="1"/>
    <col min="12044" max="12044" width="4.35546875" customWidth="1"/>
    <col min="12045" max="12045" width="4.2109375" customWidth="1"/>
    <col min="12046" max="12046" width="3.140625" customWidth="1"/>
    <col min="12047" max="12047" width="4.640625" customWidth="1"/>
    <col min="12048" max="12048" width="4.35546875" customWidth="1"/>
    <col min="12049" max="12049" width="4" customWidth="1"/>
    <col min="12050" max="12050" width="3" customWidth="1"/>
    <col min="12051" max="12051" width="3.85546875" customWidth="1"/>
    <col min="12052" max="12052" width="4.35546875" customWidth="1"/>
    <col min="12053" max="12053" width="3.35546875" customWidth="1"/>
    <col min="12054" max="12054" width="4.85546875" customWidth="1"/>
    <col min="12055" max="12055" width="10.640625" customWidth="1"/>
    <col min="12056" max="12056" width="7.140625" customWidth="1"/>
    <col min="12057" max="12057" width="8.140625" customWidth="1"/>
    <col min="12058" max="12058" width="7.640625" customWidth="1"/>
    <col min="12059" max="12060" width="7.7109375" customWidth="1"/>
    <col min="12061" max="12061" width="7.140625" customWidth="1"/>
    <col min="12288" max="12288" width="4.35546875" customWidth="1"/>
    <col min="12289" max="12289" width="20.640625" customWidth="1"/>
    <col min="12290" max="12290" width="12.35546875" customWidth="1"/>
    <col min="12291" max="12291" width="12.640625" customWidth="1"/>
    <col min="12292" max="12292" width="3.85546875" customWidth="1"/>
    <col min="12293" max="12293" width="4.2109375" customWidth="1"/>
    <col min="12294" max="12294" width="4.140625" customWidth="1"/>
    <col min="12295" max="12295" width="4" customWidth="1"/>
    <col min="12296" max="12296" width="16.35546875" customWidth="1"/>
    <col min="12297" max="12297" width="5.640625" customWidth="1"/>
    <col min="12298" max="12298" width="8.7109375" customWidth="1"/>
    <col min="12299" max="12299" width="5.35546875" customWidth="1"/>
    <col min="12300" max="12300" width="4.35546875" customWidth="1"/>
    <col min="12301" max="12301" width="4.2109375" customWidth="1"/>
    <col min="12302" max="12302" width="3.140625" customWidth="1"/>
    <col min="12303" max="12303" width="4.640625" customWidth="1"/>
    <col min="12304" max="12304" width="4.35546875" customWidth="1"/>
    <col min="12305" max="12305" width="4" customWidth="1"/>
    <col min="12306" max="12306" width="3" customWidth="1"/>
    <col min="12307" max="12307" width="3.85546875" customWidth="1"/>
    <col min="12308" max="12308" width="4.35546875" customWidth="1"/>
    <col min="12309" max="12309" width="3.35546875" customWidth="1"/>
    <col min="12310" max="12310" width="4.85546875" customWidth="1"/>
    <col min="12311" max="12311" width="10.640625" customWidth="1"/>
    <col min="12312" max="12312" width="7.140625" customWidth="1"/>
    <col min="12313" max="12313" width="8.140625" customWidth="1"/>
    <col min="12314" max="12314" width="7.640625" customWidth="1"/>
    <col min="12315" max="12316" width="7.7109375" customWidth="1"/>
    <col min="12317" max="12317" width="7.140625" customWidth="1"/>
    <col min="12544" max="12544" width="4.35546875" customWidth="1"/>
    <col min="12545" max="12545" width="20.640625" customWidth="1"/>
    <col min="12546" max="12546" width="12.35546875" customWidth="1"/>
    <col min="12547" max="12547" width="12.640625" customWidth="1"/>
    <col min="12548" max="12548" width="3.85546875" customWidth="1"/>
    <col min="12549" max="12549" width="4.2109375" customWidth="1"/>
    <col min="12550" max="12550" width="4.140625" customWidth="1"/>
    <col min="12551" max="12551" width="4" customWidth="1"/>
    <col min="12552" max="12552" width="16.35546875" customWidth="1"/>
    <col min="12553" max="12553" width="5.640625" customWidth="1"/>
    <col min="12554" max="12554" width="8.7109375" customWidth="1"/>
    <col min="12555" max="12555" width="5.35546875" customWidth="1"/>
    <col min="12556" max="12556" width="4.35546875" customWidth="1"/>
    <col min="12557" max="12557" width="4.2109375" customWidth="1"/>
    <col min="12558" max="12558" width="3.140625" customWidth="1"/>
    <col min="12559" max="12559" width="4.640625" customWidth="1"/>
    <col min="12560" max="12560" width="4.35546875" customWidth="1"/>
    <col min="12561" max="12561" width="4" customWidth="1"/>
    <col min="12562" max="12562" width="3" customWidth="1"/>
    <col min="12563" max="12563" width="3.85546875" customWidth="1"/>
    <col min="12564" max="12564" width="4.35546875" customWidth="1"/>
    <col min="12565" max="12565" width="3.35546875" customWidth="1"/>
    <col min="12566" max="12566" width="4.85546875" customWidth="1"/>
    <col min="12567" max="12567" width="10.640625" customWidth="1"/>
    <col min="12568" max="12568" width="7.140625" customWidth="1"/>
    <col min="12569" max="12569" width="8.140625" customWidth="1"/>
    <col min="12570" max="12570" width="7.640625" customWidth="1"/>
    <col min="12571" max="12572" width="7.7109375" customWidth="1"/>
    <col min="12573" max="12573" width="7.140625" customWidth="1"/>
    <col min="12800" max="12800" width="4.35546875" customWidth="1"/>
    <col min="12801" max="12801" width="20.640625" customWidth="1"/>
    <col min="12802" max="12802" width="12.35546875" customWidth="1"/>
    <col min="12803" max="12803" width="12.640625" customWidth="1"/>
    <col min="12804" max="12804" width="3.85546875" customWidth="1"/>
    <col min="12805" max="12805" width="4.2109375" customWidth="1"/>
    <col min="12806" max="12806" width="4.140625" customWidth="1"/>
    <col min="12807" max="12807" width="4" customWidth="1"/>
    <col min="12808" max="12808" width="16.35546875" customWidth="1"/>
    <col min="12809" max="12809" width="5.640625" customWidth="1"/>
    <col min="12810" max="12810" width="8.7109375" customWidth="1"/>
    <col min="12811" max="12811" width="5.35546875" customWidth="1"/>
    <col min="12812" max="12812" width="4.35546875" customWidth="1"/>
    <col min="12813" max="12813" width="4.2109375" customWidth="1"/>
    <col min="12814" max="12814" width="3.140625" customWidth="1"/>
    <col min="12815" max="12815" width="4.640625" customWidth="1"/>
    <col min="12816" max="12816" width="4.35546875" customWidth="1"/>
    <col min="12817" max="12817" width="4" customWidth="1"/>
    <col min="12818" max="12818" width="3" customWidth="1"/>
    <col min="12819" max="12819" width="3.85546875" customWidth="1"/>
    <col min="12820" max="12820" width="4.35546875" customWidth="1"/>
    <col min="12821" max="12821" width="3.35546875" customWidth="1"/>
    <col min="12822" max="12822" width="4.85546875" customWidth="1"/>
    <col min="12823" max="12823" width="10.640625" customWidth="1"/>
    <col min="12824" max="12824" width="7.140625" customWidth="1"/>
    <col min="12825" max="12825" width="8.140625" customWidth="1"/>
    <col min="12826" max="12826" width="7.640625" customWidth="1"/>
    <col min="12827" max="12828" width="7.7109375" customWidth="1"/>
    <col min="12829" max="12829" width="7.140625" customWidth="1"/>
    <col min="13056" max="13056" width="4.35546875" customWidth="1"/>
    <col min="13057" max="13057" width="20.640625" customWidth="1"/>
    <col min="13058" max="13058" width="12.35546875" customWidth="1"/>
    <col min="13059" max="13059" width="12.640625" customWidth="1"/>
    <col min="13060" max="13060" width="3.85546875" customWidth="1"/>
    <col min="13061" max="13061" width="4.2109375" customWidth="1"/>
    <col min="13062" max="13062" width="4.140625" customWidth="1"/>
    <col min="13063" max="13063" width="4" customWidth="1"/>
    <col min="13064" max="13064" width="16.35546875" customWidth="1"/>
    <col min="13065" max="13065" width="5.640625" customWidth="1"/>
    <col min="13066" max="13066" width="8.7109375" customWidth="1"/>
    <col min="13067" max="13067" width="5.35546875" customWidth="1"/>
    <col min="13068" max="13068" width="4.35546875" customWidth="1"/>
    <col min="13069" max="13069" width="4.2109375" customWidth="1"/>
    <col min="13070" max="13070" width="3.140625" customWidth="1"/>
    <col min="13071" max="13071" width="4.640625" customWidth="1"/>
    <col min="13072" max="13072" width="4.35546875" customWidth="1"/>
    <col min="13073" max="13073" width="4" customWidth="1"/>
    <col min="13074" max="13074" width="3" customWidth="1"/>
    <col min="13075" max="13075" width="3.85546875" customWidth="1"/>
    <col min="13076" max="13076" width="4.35546875" customWidth="1"/>
    <col min="13077" max="13077" width="3.35546875" customWidth="1"/>
    <col min="13078" max="13078" width="4.85546875" customWidth="1"/>
    <col min="13079" max="13079" width="10.640625" customWidth="1"/>
    <col min="13080" max="13080" width="7.140625" customWidth="1"/>
    <col min="13081" max="13081" width="8.140625" customWidth="1"/>
    <col min="13082" max="13082" width="7.640625" customWidth="1"/>
    <col min="13083" max="13084" width="7.7109375" customWidth="1"/>
    <col min="13085" max="13085" width="7.140625" customWidth="1"/>
    <col min="13312" max="13312" width="4.35546875" customWidth="1"/>
    <col min="13313" max="13313" width="20.640625" customWidth="1"/>
    <col min="13314" max="13314" width="12.35546875" customWidth="1"/>
    <col min="13315" max="13315" width="12.640625" customWidth="1"/>
    <col min="13316" max="13316" width="3.85546875" customWidth="1"/>
    <col min="13317" max="13317" width="4.2109375" customWidth="1"/>
    <col min="13318" max="13318" width="4.140625" customWidth="1"/>
    <col min="13319" max="13319" width="4" customWidth="1"/>
    <col min="13320" max="13320" width="16.35546875" customWidth="1"/>
    <col min="13321" max="13321" width="5.640625" customWidth="1"/>
    <col min="13322" max="13322" width="8.7109375" customWidth="1"/>
    <col min="13323" max="13323" width="5.35546875" customWidth="1"/>
    <col min="13324" max="13324" width="4.35546875" customWidth="1"/>
    <col min="13325" max="13325" width="4.2109375" customWidth="1"/>
    <col min="13326" max="13326" width="3.140625" customWidth="1"/>
    <col min="13327" max="13327" width="4.640625" customWidth="1"/>
    <col min="13328" max="13328" width="4.35546875" customWidth="1"/>
    <col min="13329" max="13329" width="4" customWidth="1"/>
    <col min="13330" max="13330" width="3" customWidth="1"/>
    <col min="13331" max="13331" width="3.85546875" customWidth="1"/>
    <col min="13332" max="13332" width="4.35546875" customWidth="1"/>
    <col min="13333" max="13333" width="3.35546875" customWidth="1"/>
    <col min="13334" max="13334" width="4.85546875" customWidth="1"/>
    <col min="13335" max="13335" width="10.640625" customWidth="1"/>
    <col min="13336" max="13336" width="7.140625" customWidth="1"/>
    <col min="13337" max="13337" width="8.140625" customWidth="1"/>
    <col min="13338" max="13338" width="7.640625" customWidth="1"/>
    <col min="13339" max="13340" width="7.7109375" customWidth="1"/>
    <col min="13341" max="13341" width="7.140625" customWidth="1"/>
    <col min="13568" max="13568" width="4.35546875" customWidth="1"/>
    <col min="13569" max="13569" width="20.640625" customWidth="1"/>
    <col min="13570" max="13570" width="12.35546875" customWidth="1"/>
    <col min="13571" max="13571" width="12.640625" customWidth="1"/>
    <col min="13572" max="13572" width="3.85546875" customWidth="1"/>
    <col min="13573" max="13573" width="4.2109375" customWidth="1"/>
    <col min="13574" max="13574" width="4.140625" customWidth="1"/>
    <col min="13575" max="13575" width="4" customWidth="1"/>
    <col min="13576" max="13576" width="16.35546875" customWidth="1"/>
    <col min="13577" max="13577" width="5.640625" customWidth="1"/>
    <col min="13578" max="13578" width="8.7109375" customWidth="1"/>
    <col min="13579" max="13579" width="5.35546875" customWidth="1"/>
    <col min="13580" max="13580" width="4.35546875" customWidth="1"/>
    <col min="13581" max="13581" width="4.2109375" customWidth="1"/>
    <col min="13582" max="13582" width="3.140625" customWidth="1"/>
    <col min="13583" max="13583" width="4.640625" customWidth="1"/>
    <col min="13584" max="13584" width="4.35546875" customWidth="1"/>
    <col min="13585" max="13585" width="4" customWidth="1"/>
    <col min="13586" max="13586" width="3" customWidth="1"/>
    <col min="13587" max="13587" width="3.85546875" customWidth="1"/>
    <col min="13588" max="13588" width="4.35546875" customWidth="1"/>
    <col min="13589" max="13589" width="3.35546875" customWidth="1"/>
    <col min="13590" max="13590" width="4.85546875" customWidth="1"/>
    <col min="13591" max="13591" width="10.640625" customWidth="1"/>
    <col min="13592" max="13592" width="7.140625" customWidth="1"/>
    <col min="13593" max="13593" width="8.140625" customWidth="1"/>
    <col min="13594" max="13594" width="7.640625" customWidth="1"/>
    <col min="13595" max="13596" width="7.7109375" customWidth="1"/>
    <col min="13597" max="13597" width="7.140625" customWidth="1"/>
    <col min="13824" max="13824" width="4.35546875" customWidth="1"/>
    <col min="13825" max="13825" width="20.640625" customWidth="1"/>
    <col min="13826" max="13826" width="12.35546875" customWidth="1"/>
    <col min="13827" max="13827" width="12.640625" customWidth="1"/>
    <col min="13828" max="13828" width="3.85546875" customWidth="1"/>
    <col min="13829" max="13829" width="4.2109375" customWidth="1"/>
    <col min="13830" max="13830" width="4.140625" customWidth="1"/>
    <col min="13831" max="13831" width="4" customWidth="1"/>
    <col min="13832" max="13832" width="16.35546875" customWidth="1"/>
    <col min="13833" max="13833" width="5.640625" customWidth="1"/>
    <col min="13834" max="13834" width="8.7109375" customWidth="1"/>
    <col min="13835" max="13835" width="5.35546875" customWidth="1"/>
    <col min="13836" max="13836" width="4.35546875" customWidth="1"/>
    <col min="13837" max="13837" width="4.2109375" customWidth="1"/>
    <col min="13838" max="13838" width="3.140625" customWidth="1"/>
    <col min="13839" max="13839" width="4.640625" customWidth="1"/>
    <col min="13840" max="13840" width="4.35546875" customWidth="1"/>
    <col min="13841" max="13841" width="4" customWidth="1"/>
    <col min="13842" max="13842" width="3" customWidth="1"/>
    <col min="13843" max="13843" width="3.85546875" customWidth="1"/>
    <col min="13844" max="13844" width="4.35546875" customWidth="1"/>
    <col min="13845" max="13845" width="3.35546875" customWidth="1"/>
    <col min="13846" max="13846" width="4.85546875" customWidth="1"/>
    <col min="13847" max="13847" width="10.640625" customWidth="1"/>
    <col min="13848" max="13848" width="7.140625" customWidth="1"/>
    <col min="13849" max="13849" width="8.140625" customWidth="1"/>
    <col min="13850" max="13850" width="7.640625" customWidth="1"/>
    <col min="13851" max="13852" width="7.7109375" customWidth="1"/>
    <col min="13853" max="13853" width="7.140625" customWidth="1"/>
    <col min="14080" max="14080" width="4.35546875" customWidth="1"/>
    <col min="14081" max="14081" width="20.640625" customWidth="1"/>
    <col min="14082" max="14082" width="12.35546875" customWidth="1"/>
    <col min="14083" max="14083" width="12.640625" customWidth="1"/>
    <col min="14084" max="14084" width="3.85546875" customWidth="1"/>
    <col min="14085" max="14085" width="4.2109375" customWidth="1"/>
    <col min="14086" max="14086" width="4.140625" customWidth="1"/>
    <col min="14087" max="14087" width="4" customWidth="1"/>
    <col min="14088" max="14088" width="16.35546875" customWidth="1"/>
    <col min="14089" max="14089" width="5.640625" customWidth="1"/>
    <col min="14090" max="14090" width="8.7109375" customWidth="1"/>
    <col min="14091" max="14091" width="5.35546875" customWidth="1"/>
    <col min="14092" max="14092" width="4.35546875" customWidth="1"/>
    <col min="14093" max="14093" width="4.2109375" customWidth="1"/>
    <col min="14094" max="14094" width="3.140625" customWidth="1"/>
    <col min="14095" max="14095" width="4.640625" customWidth="1"/>
    <col min="14096" max="14096" width="4.35546875" customWidth="1"/>
    <col min="14097" max="14097" width="4" customWidth="1"/>
    <col min="14098" max="14098" width="3" customWidth="1"/>
    <col min="14099" max="14099" width="3.85546875" customWidth="1"/>
    <col min="14100" max="14100" width="4.35546875" customWidth="1"/>
    <col min="14101" max="14101" width="3.35546875" customWidth="1"/>
    <col min="14102" max="14102" width="4.85546875" customWidth="1"/>
    <col min="14103" max="14103" width="10.640625" customWidth="1"/>
    <col min="14104" max="14104" width="7.140625" customWidth="1"/>
    <col min="14105" max="14105" width="8.140625" customWidth="1"/>
    <col min="14106" max="14106" width="7.640625" customWidth="1"/>
    <col min="14107" max="14108" width="7.7109375" customWidth="1"/>
    <col min="14109" max="14109" width="7.140625" customWidth="1"/>
    <col min="14336" max="14336" width="4.35546875" customWidth="1"/>
    <col min="14337" max="14337" width="20.640625" customWidth="1"/>
    <col min="14338" max="14338" width="12.35546875" customWidth="1"/>
    <col min="14339" max="14339" width="12.640625" customWidth="1"/>
    <col min="14340" max="14340" width="3.85546875" customWidth="1"/>
    <col min="14341" max="14341" width="4.2109375" customWidth="1"/>
    <col min="14342" max="14342" width="4.140625" customWidth="1"/>
    <col min="14343" max="14343" width="4" customWidth="1"/>
    <col min="14344" max="14344" width="16.35546875" customWidth="1"/>
    <col min="14345" max="14345" width="5.640625" customWidth="1"/>
    <col min="14346" max="14346" width="8.7109375" customWidth="1"/>
    <col min="14347" max="14347" width="5.35546875" customWidth="1"/>
    <col min="14348" max="14348" width="4.35546875" customWidth="1"/>
    <col min="14349" max="14349" width="4.2109375" customWidth="1"/>
    <col min="14350" max="14350" width="3.140625" customWidth="1"/>
    <col min="14351" max="14351" width="4.640625" customWidth="1"/>
    <col min="14352" max="14352" width="4.35546875" customWidth="1"/>
    <col min="14353" max="14353" width="4" customWidth="1"/>
    <col min="14354" max="14354" width="3" customWidth="1"/>
    <col min="14355" max="14355" width="3.85546875" customWidth="1"/>
    <col min="14356" max="14356" width="4.35546875" customWidth="1"/>
    <col min="14357" max="14357" width="3.35546875" customWidth="1"/>
    <col min="14358" max="14358" width="4.85546875" customWidth="1"/>
    <col min="14359" max="14359" width="10.640625" customWidth="1"/>
    <col min="14360" max="14360" width="7.140625" customWidth="1"/>
    <col min="14361" max="14361" width="8.140625" customWidth="1"/>
    <col min="14362" max="14362" width="7.640625" customWidth="1"/>
    <col min="14363" max="14364" width="7.7109375" customWidth="1"/>
    <col min="14365" max="14365" width="7.140625" customWidth="1"/>
    <col min="14592" max="14592" width="4.35546875" customWidth="1"/>
    <col min="14593" max="14593" width="20.640625" customWidth="1"/>
    <col min="14594" max="14594" width="12.35546875" customWidth="1"/>
    <col min="14595" max="14595" width="12.640625" customWidth="1"/>
    <col min="14596" max="14596" width="3.85546875" customWidth="1"/>
    <col min="14597" max="14597" width="4.2109375" customWidth="1"/>
    <col min="14598" max="14598" width="4.140625" customWidth="1"/>
    <col min="14599" max="14599" width="4" customWidth="1"/>
    <col min="14600" max="14600" width="16.35546875" customWidth="1"/>
    <col min="14601" max="14601" width="5.640625" customWidth="1"/>
    <col min="14602" max="14602" width="8.7109375" customWidth="1"/>
    <col min="14603" max="14603" width="5.35546875" customWidth="1"/>
    <col min="14604" max="14604" width="4.35546875" customWidth="1"/>
    <col min="14605" max="14605" width="4.2109375" customWidth="1"/>
    <col min="14606" max="14606" width="3.140625" customWidth="1"/>
    <col min="14607" max="14607" width="4.640625" customWidth="1"/>
    <col min="14608" max="14608" width="4.35546875" customWidth="1"/>
    <col min="14609" max="14609" width="4" customWidth="1"/>
    <col min="14610" max="14610" width="3" customWidth="1"/>
    <col min="14611" max="14611" width="3.85546875" customWidth="1"/>
    <col min="14612" max="14612" width="4.35546875" customWidth="1"/>
    <col min="14613" max="14613" width="3.35546875" customWidth="1"/>
    <col min="14614" max="14614" width="4.85546875" customWidth="1"/>
    <col min="14615" max="14615" width="10.640625" customWidth="1"/>
    <col min="14616" max="14616" width="7.140625" customWidth="1"/>
    <col min="14617" max="14617" width="8.140625" customWidth="1"/>
    <col min="14618" max="14618" width="7.640625" customWidth="1"/>
    <col min="14619" max="14620" width="7.7109375" customWidth="1"/>
    <col min="14621" max="14621" width="7.140625" customWidth="1"/>
    <col min="14848" max="14848" width="4.35546875" customWidth="1"/>
    <col min="14849" max="14849" width="20.640625" customWidth="1"/>
    <col min="14850" max="14850" width="12.35546875" customWidth="1"/>
    <col min="14851" max="14851" width="12.640625" customWidth="1"/>
    <col min="14852" max="14852" width="3.85546875" customWidth="1"/>
    <col min="14853" max="14853" width="4.2109375" customWidth="1"/>
    <col min="14854" max="14854" width="4.140625" customWidth="1"/>
    <col min="14855" max="14855" width="4" customWidth="1"/>
    <col min="14856" max="14856" width="16.35546875" customWidth="1"/>
    <col min="14857" max="14857" width="5.640625" customWidth="1"/>
    <col min="14858" max="14858" width="8.7109375" customWidth="1"/>
    <col min="14859" max="14859" width="5.35546875" customWidth="1"/>
    <col min="14860" max="14860" width="4.35546875" customWidth="1"/>
    <col min="14861" max="14861" width="4.2109375" customWidth="1"/>
    <col min="14862" max="14862" width="3.140625" customWidth="1"/>
    <col min="14863" max="14863" width="4.640625" customWidth="1"/>
    <col min="14864" max="14864" width="4.35546875" customWidth="1"/>
    <col min="14865" max="14865" width="4" customWidth="1"/>
    <col min="14866" max="14866" width="3" customWidth="1"/>
    <col min="14867" max="14867" width="3.85546875" customWidth="1"/>
    <col min="14868" max="14868" width="4.35546875" customWidth="1"/>
    <col min="14869" max="14869" width="3.35546875" customWidth="1"/>
    <col min="14870" max="14870" width="4.85546875" customWidth="1"/>
    <col min="14871" max="14871" width="10.640625" customWidth="1"/>
    <col min="14872" max="14872" width="7.140625" customWidth="1"/>
    <col min="14873" max="14873" width="8.140625" customWidth="1"/>
    <col min="14874" max="14874" width="7.640625" customWidth="1"/>
    <col min="14875" max="14876" width="7.7109375" customWidth="1"/>
    <col min="14877" max="14877" width="7.140625" customWidth="1"/>
    <col min="15104" max="15104" width="4.35546875" customWidth="1"/>
    <col min="15105" max="15105" width="20.640625" customWidth="1"/>
    <col min="15106" max="15106" width="12.35546875" customWidth="1"/>
    <col min="15107" max="15107" width="12.640625" customWidth="1"/>
    <col min="15108" max="15108" width="3.85546875" customWidth="1"/>
    <col min="15109" max="15109" width="4.2109375" customWidth="1"/>
    <col min="15110" max="15110" width="4.140625" customWidth="1"/>
    <col min="15111" max="15111" width="4" customWidth="1"/>
    <col min="15112" max="15112" width="16.35546875" customWidth="1"/>
    <col min="15113" max="15113" width="5.640625" customWidth="1"/>
    <col min="15114" max="15114" width="8.7109375" customWidth="1"/>
    <col min="15115" max="15115" width="5.35546875" customWidth="1"/>
    <col min="15116" max="15116" width="4.35546875" customWidth="1"/>
    <col min="15117" max="15117" width="4.2109375" customWidth="1"/>
    <col min="15118" max="15118" width="3.140625" customWidth="1"/>
    <col min="15119" max="15119" width="4.640625" customWidth="1"/>
    <col min="15120" max="15120" width="4.35546875" customWidth="1"/>
    <col min="15121" max="15121" width="4" customWidth="1"/>
    <col min="15122" max="15122" width="3" customWidth="1"/>
    <col min="15123" max="15123" width="3.85546875" customWidth="1"/>
    <col min="15124" max="15124" width="4.35546875" customWidth="1"/>
    <col min="15125" max="15125" width="3.35546875" customWidth="1"/>
    <col min="15126" max="15126" width="4.85546875" customWidth="1"/>
    <col min="15127" max="15127" width="10.640625" customWidth="1"/>
    <col min="15128" max="15128" width="7.140625" customWidth="1"/>
    <col min="15129" max="15129" width="8.140625" customWidth="1"/>
    <col min="15130" max="15130" width="7.640625" customWidth="1"/>
    <col min="15131" max="15132" width="7.7109375" customWidth="1"/>
    <col min="15133" max="15133" width="7.140625" customWidth="1"/>
    <col min="15360" max="15360" width="4.35546875" customWidth="1"/>
    <col min="15361" max="15361" width="20.640625" customWidth="1"/>
    <col min="15362" max="15362" width="12.35546875" customWidth="1"/>
    <col min="15363" max="15363" width="12.640625" customWidth="1"/>
    <col min="15364" max="15364" width="3.85546875" customWidth="1"/>
    <col min="15365" max="15365" width="4.2109375" customWidth="1"/>
    <col min="15366" max="15366" width="4.140625" customWidth="1"/>
    <col min="15367" max="15367" width="4" customWidth="1"/>
    <col min="15368" max="15368" width="16.35546875" customWidth="1"/>
    <col min="15369" max="15369" width="5.640625" customWidth="1"/>
    <col min="15370" max="15370" width="8.7109375" customWidth="1"/>
    <col min="15371" max="15371" width="5.35546875" customWidth="1"/>
    <col min="15372" max="15372" width="4.35546875" customWidth="1"/>
    <col min="15373" max="15373" width="4.2109375" customWidth="1"/>
    <col min="15374" max="15374" width="3.140625" customWidth="1"/>
    <col min="15375" max="15375" width="4.640625" customWidth="1"/>
    <col min="15376" max="15376" width="4.35546875" customWidth="1"/>
    <col min="15377" max="15377" width="4" customWidth="1"/>
    <col min="15378" max="15378" width="3" customWidth="1"/>
    <col min="15379" max="15379" width="3.85546875" customWidth="1"/>
    <col min="15380" max="15380" width="4.35546875" customWidth="1"/>
    <col min="15381" max="15381" width="3.35546875" customWidth="1"/>
    <col min="15382" max="15382" width="4.85546875" customWidth="1"/>
    <col min="15383" max="15383" width="10.640625" customWidth="1"/>
    <col min="15384" max="15384" width="7.140625" customWidth="1"/>
    <col min="15385" max="15385" width="8.140625" customWidth="1"/>
    <col min="15386" max="15386" width="7.640625" customWidth="1"/>
    <col min="15387" max="15388" width="7.7109375" customWidth="1"/>
    <col min="15389" max="15389" width="7.140625" customWidth="1"/>
    <col min="15616" max="15616" width="4.35546875" customWidth="1"/>
    <col min="15617" max="15617" width="20.640625" customWidth="1"/>
    <col min="15618" max="15618" width="12.35546875" customWidth="1"/>
    <col min="15619" max="15619" width="12.640625" customWidth="1"/>
    <col min="15620" max="15620" width="3.85546875" customWidth="1"/>
    <col min="15621" max="15621" width="4.2109375" customWidth="1"/>
    <col min="15622" max="15622" width="4.140625" customWidth="1"/>
    <col min="15623" max="15623" width="4" customWidth="1"/>
    <col min="15624" max="15624" width="16.35546875" customWidth="1"/>
    <col min="15625" max="15625" width="5.640625" customWidth="1"/>
    <col min="15626" max="15626" width="8.7109375" customWidth="1"/>
    <col min="15627" max="15627" width="5.35546875" customWidth="1"/>
    <col min="15628" max="15628" width="4.35546875" customWidth="1"/>
    <col min="15629" max="15629" width="4.2109375" customWidth="1"/>
    <col min="15630" max="15630" width="3.140625" customWidth="1"/>
    <col min="15631" max="15631" width="4.640625" customWidth="1"/>
    <col min="15632" max="15632" width="4.35546875" customWidth="1"/>
    <col min="15633" max="15633" width="4" customWidth="1"/>
    <col min="15634" max="15634" width="3" customWidth="1"/>
    <col min="15635" max="15635" width="3.85546875" customWidth="1"/>
    <col min="15636" max="15636" width="4.35546875" customWidth="1"/>
    <col min="15637" max="15637" width="3.35546875" customWidth="1"/>
    <col min="15638" max="15638" width="4.85546875" customWidth="1"/>
    <col min="15639" max="15639" width="10.640625" customWidth="1"/>
    <col min="15640" max="15640" width="7.140625" customWidth="1"/>
    <col min="15641" max="15641" width="8.140625" customWidth="1"/>
    <col min="15642" max="15642" width="7.640625" customWidth="1"/>
    <col min="15643" max="15644" width="7.7109375" customWidth="1"/>
    <col min="15645" max="15645" width="7.140625" customWidth="1"/>
    <col min="15872" max="15872" width="4.35546875" customWidth="1"/>
    <col min="15873" max="15873" width="20.640625" customWidth="1"/>
    <col min="15874" max="15874" width="12.35546875" customWidth="1"/>
    <col min="15875" max="15875" width="12.640625" customWidth="1"/>
    <col min="15876" max="15876" width="3.85546875" customWidth="1"/>
    <col min="15877" max="15877" width="4.2109375" customWidth="1"/>
    <col min="15878" max="15878" width="4.140625" customWidth="1"/>
    <col min="15879" max="15879" width="4" customWidth="1"/>
    <col min="15880" max="15880" width="16.35546875" customWidth="1"/>
    <col min="15881" max="15881" width="5.640625" customWidth="1"/>
    <col min="15882" max="15882" width="8.7109375" customWidth="1"/>
    <col min="15883" max="15883" width="5.35546875" customWidth="1"/>
    <col min="15884" max="15884" width="4.35546875" customWidth="1"/>
    <col min="15885" max="15885" width="4.2109375" customWidth="1"/>
    <col min="15886" max="15886" width="3.140625" customWidth="1"/>
    <col min="15887" max="15887" width="4.640625" customWidth="1"/>
    <col min="15888" max="15888" width="4.35546875" customWidth="1"/>
    <col min="15889" max="15889" width="4" customWidth="1"/>
    <col min="15890" max="15890" width="3" customWidth="1"/>
    <col min="15891" max="15891" width="3.85546875" customWidth="1"/>
    <col min="15892" max="15892" width="4.35546875" customWidth="1"/>
    <col min="15893" max="15893" width="3.35546875" customWidth="1"/>
    <col min="15894" max="15894" width="4.85546875" customWidth="1"/>
    <col min="15895" max="15895" width="10.640625" customWidth="1"/>
    <col min="15896" max="15896" width="7.140625" customWidth="1"/>
    <col min="15897" max="15897" width="8.140625" customWidth="1"/>
    <col min="15898" max="15898" width="7.640625" customWidth="1"/>
    <col min="15899" max="15900" width="7.7109375" customWidth="1"/>
    <col min="15901" max="15901" width="7.140625" customWidth="1"/>
    <col min="16128" max="16128" width="4.35546875" customWidth="1"/>
    <col min="16129" max="16129" width="20.640625" customWidth="1"/>
    <col min="16130" max="16130" width="12.35546875" customWidth="1"/>
    <col min="16131" max="16131" width="12.640625" customWidth="1"/>
    <col min="16132" max="16132" width="3.85546875" customWidth="1"/>
    <col min="16133" max="16133" width="4.2109375" customWidth="1"/>
    <col min="16134" max="16134" width="4.140625" customWidth="1"/>
    <col min="16135" max="16135" width="4" customWidth="1"/>
    <col min="16136" max="16136" width="16.35546875" customWidth="1"/>
    <col min="16137" max="16137" width="5.640625" customWidth="1"/>
    <col min="16138" max="16138" width="8.7109375" customWidth="1"/>
    <col min="16139" max="16139" width="5.35546875" customWidth="1"/>
    <col min="16140" max="16140" width="4.35546875" customWidth="1"/>
    <col min="16141" max="16141" width="4.2109375" customWidth="1"/>
    <col min="16142" max="16142" width="3.140625" customWidth="1"/>
    <col min="16143" max="16143" width="4.640625" customWidth="1"/>
    <col min="16144" max="16144" width="4.35546875" customWidth="1"/>
    <col min="16145" max="16145" width="4" customWidth="1"/>
    <col min="16146" max="16146" width="3" customWidth="1"/>
    <col min="16147" max="16147" width="3.85546875" customWidth="1"/>
    <col min="16148" max="16148" width="4.35546875" customWidth="1"/>
    <col min="16149" max="16149" width="3.35546875" customWidth="1"/>
    <col min="16150" max="16150" width="4.85546875" customWidth="1"/>
    <col min="16151" max="16151" width="10.640625" customWidth="1"/>
    <col min="16152" max="16152" width="7.140625" customWidth="1"/>
    <col min="16153" max="16153" width="8.140625" customWidth="1"/>
    <col min="16154" max="16154" width="7.640625" customWidth="1"/>
    <col min="16155" max="16156" width="7.7109375" customWidth="1"/>
    <col min="16157" max="16157" width="7.140625" customWidth="1"/>
  </cols>
  <sheetData>
    <row r="1" spans="1:34" s="184" customFormat="1" ht="27">
      <c r="D1" s="3002" t="s">
        <v>186</v>
      </c>
      <c r="E1" s="3002"/>
      <c r="F1" s="3002"/>
      <c r="G1" s="3002"/>
      <c r="H1" s="3002"/>
      <c r="I1" s="3002"/>
      <c r="J1" s="3002"/>
      <c r="K1" s="3002"/>
      <c r="L1" s="3002"/>
      <c r="M1" s="3002"/>
      <c r="N1" s="3002"/>
      <c r="O1" s="3002"/>
      <c r="P1" s="3002"/>
      <c r="Q1" s="3002"/>
      <c r="R1" s="3002"/>
      <c r="S1" s="3002"/>
      <c r="T1" s="3002"/>
      <c r="U1" s="3002"/>
      <c r="V1" s="3002"/>
      <c r="W1" s="3002"/>
      <c r="X1" s="3002"/>
      <c r="Y1" s="3002"/>
      <c r="Z1" s="3002"/>
      <c r="AA1" s="3002"/>
      <c r="AB1" s="3002"/>
    </row>
    <row r="2" spans="1:34" s="184" customFormat="1" ht="20.25" customHeight="1">
      <c r="D2" s="185" t="s">
        <v>0</v>
      </c>
      <c r="E2" s="186" t="s">
        <v>1</v>
      </c>
      <c r="G2" s="187" t="s">
        <v>238</v>
      </c>
      <c r="I2" s="188"/>
      <c r="J2" s="189"/>
    </row>
    <row r="3" spans="1:34" s="184" customFormat="1" ht="19.5" customHeight="1">
      <c r="D3" s="190" t="s">
        <v>2</v>
      </c>
      <c r="E3" s="190"/>
      <c r="F3" s="190"/>
      <c r="G3" s="190"/>
      <c r="H3" s="190"/>
      <c r="I3" s="190"/>
      <c r="J3" s="190"/>
      <c r="K3" s="190"/>
      <c r="L3" s="190"/>
      <c r="M3" s="190"/>
      <c r="N3" s="190"/>
      <c r="O3" s="190"/>
      <c r="P3" s="190"/>
      <c r="Q3" s="190"/>
      <c r="R3" s="190"/>
      <c r="S3" s="190"/>
      <c r="T3" s="190"/>
      <c r="U3" s="190"/>
      <c r="V3" s="190"/>
    </row>
    <row r="4" spans="1:34" s="184" customFormat="1" ht="19.5" customHeight="1">
      <c r="D4" s="190" t="s">
        <v>187</v>
      </c>
      <c r="E4" s="190"/>
      <c r="F4" s="190"/>
      <c r="G4" s="190"/>
      <c r="H4" s="190"/>
      <c r="I4" s="190"/>
      <c r="J4" s="190"/>
      <c r="K4" s="190"/>
      <c r="R4" s="190"/>
      <c r="S4" s="190"/>
      <c r="T4" s="190"/>
      <c r="U4" s="190"/>
      <c r="V4" s="190"/>
    </row>
    <row r="5" spans="1:34" s="184" customFormat="1" ht="19.5" customHeight="1">
      <c r="D5" s="185" t="s">
        <v>188</v>
      </c>
      <c r="E5" s="190"/>
      <c r="F5" s="190"/>
      <c r="G5" s="190"/>
      <c r="H5" s="190"/>
      <c r="I5" s="190"/>
      <c r="J5" s="190"/>
      <c r="K5" s="190" t="s">
        <v>3</v>
      </c>
      <c r="M5" s="438" t="s">
        <v>37</v>
      </c>
      <c r="N5" s="431" t="s">
        <v>11</v>
      </c>
      <c r="O5" s="433" t="s">
        <v>22</v>
      </c>
      <c r="P5" s="433" t="s">
        <v>23</v>
      </c>
      <c r="Q5" s="433" t="s">
        <v>24</v>
      </c>
      <c r="R5" s="433" t="s">
        <v>25</v>
      </c>
      <c r="S5" s="433" t="s">
        <v>26</v>
      </c>
      <c r="T5" s="433" t="s">
        <v>27</v>
      </c>
      <c r="U5" s="433" t="s">
        <v>28</v>
      </c>
      <c r="V5" s="433" t="s">
        <v>29</v>
      </c>
      <c r="W5" s="433" t="s">
        <v>30</v>
      </c>
      <c r="X5" s="433" t="s">
        <v>31</v>
      </c>
      <c r="Y5" s="433" t="s">
        <v>32</v>
      </c>
      <c r="Z5" s="433" t="s">
        <v>33</v>
      </c>
      <c r="AA5" s="2053" t="s">
        <v>2287</v>
      </c>
      <c r="AB5" s="2053" t="s">
        <v>2288</v>
      </c>
      <c r="AC5" s="2053" t="s">
        <v>2289</v>
      </c>
      <c r="AD5" s="2053" t="s">
        <v>2290</v>
      </c>
      <c r="AE5" s="2053" t="s">
        <v>2291</v>
      </c>
    </row>
    <row r="6" spans="1:34" s="184" customFormat="1" ht="19.5" customHeight="1">
      <c r="D6" s="190" t="s">
        <v>4</v>
      </c>
      <c r="E6" s="190"/>
      <c r="F6" s="190"/>
      <c r="G6" s="190" t="s">
        <v>5</v>
      </c>
      <c r="H6" s="190"/>
      <c r="I6" s="190"/>
      <c r="J6" s="190"/>
      <c r="K6" s="190"/>
      <c r="M6" s="2873">
        <v>11</v>
      </c>
      <c r="N6" s="432">
        <f>SUM(N8:N77)</f>
        <v>2044270</v>
      </c>
      <c r="O6" s="432">
        <f>O11+O22+O25+O37+O42+O46+O52+O57+O65+O67+O70</f>
        <v>0</v>
      </c>
      <c r="P6" s="432">
        <f t="shared" ref="P6:Z6" si="0">P11+P22+P25+P37+P42+P46+P52+P57+P65+P67+P70</f>
        <v>0</v>
      </c>
      <c r="Q6" s="432">
        <f t="shared" si="0"/>
        <v>45525</v>
      </c>
      <c r="R6" s="432">
        <f t="shared" si="0"/>
        <v>1580500</v>
      </c>
      <c r="S6" s="432">
        <f t="shared" si="0"/>
        <v>237340</v>
      </c>
      <c r="T6" s="432">
        <f t="shared" si="0"/>
        <v>27900</v>
      </c>
      <c r="U6" s="432">
        <f t="shared" si="0"/>
        <v>48925</v>
      </c>
      <c r="V6" s="432">
        <f t="shared" si="0"/>
        <v>22200</v>
      </c>
      <c r="W6" s="432">
        <f t="shared" si="0"/>
        <v>10580</v>
      </c>
      <c r="X6" s="432">
        <f t="shared" si="0"/>
        <v>9900</v>
      </c>
      <c r="Y6" s="432">
        <f t="shared" si="0"/>
        <v>60900</v>
      </c>
      <c r="Z6" s="432">
        <f t="shared" si="0"/>
        <v>500</v>
      </c>
      <c r="AA6" s="2058">
        <f>N11+N22+N25+N37+N42+N46+N57+N65+N67</f>
        <v>406270</v>
      </c>
      <c r="AB6" s="2058">
        <f>N52</f>
        <v>95600</v>
      </c>
      <c r="AC6" s="2059"/>
      <c r="AD6" s="2058"/>
      <c r="AE6" s="2058">
        <f>N70</f>
        <v>1542400</v>
      </c>
    </row>
    <row r="7" spans="1:34" s="184" customFormat="1" ht="19.5" customHeight="1">
      <c r="D7" s="191"/>
      <c r="E7" s="190"/>
      <c r="F7" s="190"/>
      <c r="G7" s="190" t="s">
        <v>3</v>
      </c>
      <c r="H7" s="190"/>
      <c r="I7" s="190"/>
      <c r="J7" s="190"/>
      <c r="K7" s="190"/>
      <c r="M7" s="436"/>
      <c r="N7" s="434"/>
      <c r="O7" s="435"/>
      <c r="P7" s="435"/>
      <c r="Q7" s="435">
        <f>O6+P6+Q6</f>
        <v>45525</v>
      </c>
      <c r="R7" s="435"/>
      <c r="S7" s="435"/>
      <c r="T7" s="435">
        <f>R6+S6+T6</f>
        <v>1845740</v>
      </c>
      <c r="U7" s="435"/>
      <c r="V7" s="435"/>
      <c r="W7" s="435">
        <f>U6+V6+W6</f>
        <v>81705</v>
      </c>
      <c r="X7" s="435"/>
      <c r="Y7" s="435"/>
      <c r="Z7" s="435">
        <f>X6+Y6+Z6</f>
        <v>71300</v>
      </c>
    </row>
    <row r="8" spans="1:34" ht="25.5" customHeight="1">
      <c r="A8" s="192" t="s">
        <v>34</v>
      </c>
      <c r="B8" s="193"/>
      <c r="C8" s="322"/>
      <c r="D8" s="3153" t="s">
        <v>6</v>
      </c>
      <c r="E8" s="3156" t="s">
        <v>7</v>
      </c>
      <c r="F8" s="3156" t="s">
        <v>8</v>
      </c>
      <c r="G8" s="3156" t="s">
        <v>9</v>
      </c>
      <c r="H8" s="3159" t="s">
        <v>10</v>
      </c>
      <c r="I8" s="3160"/>
      <c r="J8" s="3160"/>
      <c r="K8" s="3161"/>
      <c r="L8" s="3165" t="s">
        <v>11</v>
      </c>
      <c r="M8" s="3166"/>
      <c r="N8" s="3169" t="s">
        <v>12</v>
      </c>
      <c r="O8" s="3172" t="s">
        <v>13</v>
      </c>
      <c r="P8" s="3172"/>
      <c r="Q8" s="3172"/>
      <c r="R8" s="3172"/>
      <c r="S8" s="3172"/>
      <c r="T8" s="3172"/>
      <c r="U8" s="3172"/>
      <c r="V8" s="3172"/>
      <c r="W8" s="3172"/>
      <c r="X8" s="3172"/>
      <c r="Y8" s="3172"/>
      <c r="Z8" s="3172"/>
      <c r="AA8" s="3156" t="s">
        <v>14</v>
      </c>
      <c r="AB8" s="3173" t="s">
        <v>15</v>
      </c>
    </row>
    <row r="9" spans="1:34" ht="16.75">
      <c r="A9" s="195"/>
      <c r="B9" s="196"/>
      <c r="C9" s="333"/>
      <c r="D9" s="3154"/>
      <c r="E9" s="3157"/>
      <c r="F9" s="3157"/>
      <c r="G9" s="3157"/>
      <c r="H9" s="3162"/>
      <c r="I9" s="3163"/>
      <c r="J9" s="3163"/>
      <c r="K9" s="3164"/>
      <c r="L9" s="3167"/>
      <c r="M9" s="3168"/>
      <c r="N9" s="3170"/>
      <c r="O9" s="3172" t="s">
        <v>16</v>
      </c>
      <c r="P9" s="3172"/>
      <c r="Q9" s="3172"/>
      <c r="R9" s="3172" t="s">
        <v>17</v>
      </c>
      <c r="S9" s="3172"/>
      <c r="T9" s="3172"/>
      <c r="U9" s="3172" t="s">
        <v>18</v>
      </c>
      <c r="V9" s="3172"/>
      <c r="W9" s="3172"/>
      <c r="X9" s="3172" t="s">
        <v>19</v>
      </c>
      <c r="Y9" s="3172"/>
      <c r="Z9" s="3172"/>
      <c r="AA9" s="3157"/>
      <c r="AB9" s="3173"/>
    </row>
    <row r="10" spans="1:34" ht="16.75">
      <c r="A10" s="197" t="s">
        <v>36</v>
      </c>
      <c r="B10" s="197" t="s">
        <v>35</v>
      </c>
      <c r="C10" s="197" t="s">
        <v>37</v>
      </c>
      <c r="D10" s="3155"/>
      <c r="E10" s="3158"/>
      <c r="F10" s="3158"/>
      <c r="G10" s="3158"/>
      <c r="H10" s="199">
        <v>1</v>
      </c>
      <c r="I10" s="199">
        <v>2</v>
      </c>
      <c r="J10" s="199">
        <v>3</v>
      </c>
      <c r="K10" s="199">
        <v>4</v>
      </c>
      <c r="L10" s="200" t="s">
        <v>20</v>
      </c>
      <c r="M10" s="201" t="s">
        <v>21</v>
      </c>
      <c r="N10" s="3171"/>
      <c r="O10" s="202" t="s">
        <v>22</v>
      </c>
      <c r="P10" s="202" t="s">
        <v>23</v>
      </c>
      <c r="Q10" s="202" t="s">
        <v>24</v>
      </c>
      <c r="R10" s="202" t="s">
        <v>25</v>
      </c>
      <c r="S10" s="202" t="s">
        <v>26</v>
      </c>
      <c r="T10" s="202" t="s">
        <v>27</v>
      </c>
      <c r="U10" s="202" t="s">
        <v>28</v>
      </c>
      <c r="V10" s="202" t="s">
        <v>29</v>
      </c>
      <c r="W10" s="202" t="s">
        <v>30</v>
      </c>
      <c r="X10" s="202" t="s">
        <v>31</v>
      </c>
      <c r="Y10" s="202" t="s">
        <v>32</v>
      </c>
      <c r="Z10" s="202" t="s">
        <v>33</v>
      </c>
      <c r="AA10" s="3158"/>
      <c r="AB10" s="3173"/>
    </row>
    <row r="11" spans="1:34" ht="24.75" customHeight="1">
      <c r="A11" s="1290">
        <v>1</v>
      </c>
      <c r="B11" s="1290">
        <v>3</v>
      </c>
      <c r="C11" s="1291">
        <v>2</v>
      </c>
      <c r="D11" s="1292">
        <v>1</v>
      </c>
      <c r="E11" s="3174" t="s">
        <v>1908</v>
      </c>
      <c r="F11" s="3175"/>
      <c r="G11" s="3175"/>
      <c r="H11" s="3175"/>
      <c r="I11" s="3175"/>
      <c r="J11" s="3175"/>
      <c r="K11" s="3175"/>
      <c r="L11" s="3175"/>
      <c r="M11" s="1293"/>
      <c r="N11" s="1294">
        <f>SUM(O11:Y11)</f>
        <v>50000</v>
      </c>
      <c r="O11" s="1295">
        <f>SUM(O12:O21)</f>
        <v>0</v>
      </c>
      <c r="P11" s="1295">
        <f t="shared" ref="P11:Z11" si="1">SUM(P12:P21)</f>
        <v>0</v>
      </c>
      <c r="Q11" s="1295">
        <f t="shared" si="1"/>
        <v>26000</v>
      </c>
      <c r="R11" s="1295">
        <f t="shared" si="1"/>
        <v>15000</v>
      </c>
      <c r="S11" s="1295">
        <f t="shared" si="1"/>
        <v>0</v>
      </c>
      <c r="T11" s="1295">
        <f t="shared" si="1"/>
        <v>3000</v>
      </c>
      <c r="U11" s="1295">
        <f t="shared" si="1"/>
        <v>0</v>
      </c>
      <c r="V11" s="1295">
        <f t="shared" si="1"/>
        <v>3000</v>
      </c>
      <c r="W11" s="1295">
        <f t="shared" si="1"/>
        <v>0</v>
      </c>
      <c r="X11" s="1295">
        <f t="shared" si="1"/>
        <v>3000</v>
      </c>
      <c r="Y11" s="1295">
        <f t="shared" si="1"/>
        <v>0</v>
      </c>
      <c r="Z11" s="1296">
        <f t="shared" si="1"/>
        <v>0</v>
      </c>
      <c r="AA11" s="1297" t="s">
        <v>2066</v>
      </c>
      <c r="AB11" s="423" t="s">
        <v>893</v>
      </c>
    </row>
    <row r="12" spans="1:34" ht="60.75" customHeight="1">
      <c r="A12" s="1171">
        <v>1</v>
      </c>
      <c r="B12" s="1171">
        <v>3</v>
      </c>
      <c r="C12" s="1172">
        <v>2</v>
      </c>
      <c r="D12" s="1173"/>
      <c r="E12" s="3759" t="s">
        <v>1909</v>
      </c>
      <c r="F12" s="3759" t="s">
        <v>1910</v>
      </c>
      <c r="G12" s="3759" t="s">
        <v>1911</v>
      </c>
      <c r="H12" s="1174"/>
      <c r="I12" s="1175" t="s">
        <v>239</v>
      </c>
      <c r="J12" s="1172"/>
      <c r="K12" s="1172"/>
      <c r="L12" s="1176" t="s">
        <v>1912</v>
      </c>
      <c r="M12" s="1177">
        <v>4900</v>
      </c>
      <c r="N12" s="1178"/>
      <c r="O12" s="1177"/>
      <c r="P12" s="1172"/>
      <c r="Q12" s="1179"/>
      <c r="R12" s="1177">
        <v>4900</v>
      </c>
      <c r="S12" s="1177"/>
      <c r="T12" s="1177"/>
      <c r="U12" s="1177"/>
      <c r="V12" s="1177"/>
      <c r="W12" s="1177"/>
      <c r="X12" s="1177"/>
      <c r="Y12" s="1177"/>
      <c r="Z12" s="378"/>
      <c r="AA12" s="1172" t="s">
        <v>1913</v>
      </c>
      <c r="AB12" s="1174" t="s">
        <v>893</v>
      </c>
      <c r="AC12" s="1180"/>
      <c r="AD12" s="1180"/>
      <c r="AE12" s="1180"/>
      <c r="AF12" s="1180"/>
      <c r="AG12" s="1180"/>
      <c r="AH12" s="1180"/>
    </row>
    <row r="13" spans="1:34" ht="60.75" customHeight="1">
      <c r="A13" s="1171"/>
      <c r="B13" s="1171"/>
      <c r="C13" s="1172"/>
      <c r="D13" s="1173"/>
      <c r="E13" s="3794"/>
      <c r="F13" s="3794"/>
      <c r="G13" s="3794"/>
      <c r="H13" s="1174"/>
      <c r="I13" s="1175" t="s">
        <v>239</v>
      </c>
      <c r="J13" s="1172"/>
      <c r="K13" s="1172"/>
      <c r="L13" s="1176" t="s">
        <v>1914</v>
      </c>
      <c r="M13" s="1177">
        <v>3500</v>
      </c>
      <c r="N13" s="1178"/>
      <c r="O13" s="1177"/>
      <c r="P13" s="1172"/>
      <c r="Q13" s="1179"/>
      <c r="R13" s="1177">
        <v>3500</v>
      </c>
      <c r="S13" s="1177"/>
      <c r="T13" s="1177"/>
      <c r="U13" s="1177"/>
      <c r="V13" s="1177"/>
      <c r="W13" s="1177"/>
      <c r="X13" s="1177"/>
      <c r="Y13" s="1177"/>
      <c r="Z13" s="378"/>
      <c r="AA13" s="1172"/>
      <c r="AB13" s="1174"/>
      <c r="AC13" s="1180"/>
      <c r="AD13" s="1180"/>
      <c r="AE13" s="1180"/>
      <c r="AF13" s="1180"/>
      <c r="AG13" s="1180"/>
      <c r="AH13" s="1180"/>
    </row>
    <row r="14" spans="1:34" ht="62.25" customHeight="1">
      <c r="A14" s="197"/>
      <c r="B14" s="197"/>
      <c r="C14" s="1181"/>
      <c r="D14" s="1173"/>
      <c r="E14" s="3760"/>
      <c r="F14" s="3760"/>
      <c r="G14" s="3760"/>
      <c r="H14" s="1172"/>
      <c r="I14" s="1175" t="s">
        <v>239</v>
      </c>
      <c r="J14" s="1172"/>
      <c r="K14" s="1172"/>
      <c r="L14" s="1176" t="s">
        <v>1915</v>
      </c>
      <c r="M14" s="1177">
        <v>3600</v>
      </c>
      <c r="N14" s="1178"/>
      <c r="O14" s="1177"/>
      <c r="P14" s="1177"/>
      <c r="Q14" s="1182"/>
      <c r="R14" s="1177">
        <v>3600</v>
      </c>
      <c r="S14" s="1177"/>
      <c r="T14" s="1177"/>
      <c r="U14" s="1177"/>
      <c r="V14" s="1177"/>
      <c r="W14" s="1177"/>
      <c r="X14" s="1177"/>
      <c r="Y14" s="1177"/>
      <c r="Z14" s="378"/>
      <c r="AA14" s="1172"/>
      <c r="AB14" s="1174"/>
      <c r="AC14" s="1180"/>
      <c r="AD14" s="1180"/>
      <c r="AE14" s="1180"/>
      <c r="AF14" s="1180"/>
      <c r="AG14" s="1180"/>
      <c r="AH14" s="1180"/>
    </row>
    <row r="15" spans="1:34" ht="165" customHeight="1">
      <c r="A15" s="1183"/>
      <c r="B15" s="1183"/>
      <c r="C15" s="1184"/>
      <c r="D15" s="1185"/>
      <c r="E15" s="1186" t="s">
        <v>1916</v>
      </c>
      <c r="F15" s="1186" t="s">
        <v>1917</v>
      </c>
      <c r="G15" s="1186" t="s">
        <v>1918</v>
      </c>
      <c r="H15" s="383"/>
      <c r="I15" s="1187" t="s">
        <v>239</v>
      </c>
      <c r="J15" s="1187" t="s">
        <v>239</v>
      </c>
      <c r="K15" s="1174"/>
      <c r="L15" s="1188" t="s">
        <v>1919</v>
      </c>
      <c r="M15" s="1189"/>
      <c r="N15" s="1190"/>
      <c r="O15" s="1172"/>
      <c r="P15" s="1179"/>
      <c r="Q15" s="1172"/>
      <c r="R15" s="1191"/>
      <c r="S15" s="1192"/>
      <c r="T15" s="1172"/>
      <c r="U15" s="1192"/>
      <c r="V15" s="1172"/>
      <c r="W15" s="1192"/>
      <c r="X15" s="1179"/>
      <c r="Y15" s="1172"/>
      <c r="Z15" s="1174"/>
      <c r="AA15" s="1193"/>
      <c r="AB15" s="1174" t="s">
        <v>893</v>
      </c>
      <c r="AC15" s="1180"/>
      <c r="AD15" s="1180"/>
      <c r="AE15" s="1180"/>
      <c r="AF15" s="1180"/>
      <c r="AG15" s="1180"/>
      <c r="AH15" s="1180"/>
    </row>
    <row r="16" spans="1:34" ht="132" customHeight="1">
      <c r="A16" s="223"/>
      <c r="B16" s="223"/>
      <c r="C16" s="1194"/>
      <c r="D16" s="1179"/>
      <c r="E16" s="1176" t="s">
        <v>1920</v>
      </c>
      <c r="F16" s="1176" t="s">
        <v>1921</v>
      </c>
      <c r="G16" s="1176" t="s">
        <v>1922</v>
      </c>
      <c r="H16" s="383"/>
      <c r="I16" s="1175" t="s">
        <v>239</v>
      </c>
      <c r="J16" s="1175" t="s">
        <v>239</v>
      </c>
      <c r="K16" s="1175" t="s">
        <v>239</v>
      </c>
      <c r="L16" s="1176" t="s">
        <v>1923</v>
      </c>
      <c r="M16" s="1177">
        <v>12000</v>
      </c>
      <c r="N16" s="1182"/>
      <c r="O16" s="1177"/>
      <c r="P16" s="1177"/>
      <c r="Q16" s="1177"/>
      <c r="R16" s="1177">
        <v>3000</v>
      </c>
      <c r="S16" s="1177"/>
      <c r="T16" s="1177">
        <v>3000</v>
      </c>
      <c r="U16" s="1177"/>
      <c r="V16" s="1177">
        <v>3000</v>
      </c>
      <c r="W16" s="1177"/>
      <c r="X16" s="1177">
        <v>3000</v>
      </c>
      <c r="Y16" s="1177"/>
      <c r="Z16" s="378"/>
      <c r="AA16" s="1172"/>
      <c r="AB16" s="1174" t="s">
        <v>893</v>
      </c>
    </row>
    <row r="17" spans="1:28" ht="81" customHeight="1">
      <c r="A17" s="223"/>
      <c r="B17" s="223"/>
      <c r="C17" s="1194"/>
      <c r="D17" s="1173"/>
      <c r="E17" s="374"/>
      <c r="F17" s="372"/>
      <c r="G17" s="372"/>
      <c r="H17" s="1175" t="s">
        <v>239</v>
      </c>
      <c r="I17" s="372"/>
      <c r="J17" s="372"/>
      <c r="K17" s="372"/>
      <c r="L17" s="1181" t="s">
        <v>1924</v>
      </c>
      <c r="M17" s="1195">
        <v>5000</v>
      </c>
      <c r="N17" s="379"/>
      <c r="O17" s="379"/>
      <c r="P17" s="379"/>
      <c r="Q17" s="1196">
        <v>5000</v>
      </c>
      <c r="R17" s="379"/>
      <c r="S17" s="379"/>
      <c r="T17" s="379"/>
      <c r="U17" s="379"/>
      <c r="V17" s="379"/>
      <c r="W17" s="379"/>
      <c r="X17" s="379"/>
      <c r="Y17" s="379"/>
      <c r="Z17" s="379"/>
      <c r="AA17" s="1197"/>
      <c r="AB17" s="1174" t="s">
        <v>893</v>
      </c>
    </row>
    <row r="18" spans="1:28" ht="83.5" customHeight="1">
      <c r="A18" s="223"/>
      <c r="B18" s="223"/>
      <c r="C18" s="1198"/>
      <c r="D18" s="1179"/>
      <c r="E18" s="1181" t="s">
        <v>1925</v>
      </c>
      <c r="F18" s="1181" t="s">
        <v>1926</v>
      </c>
      <c r="G18" s="1181" t="s">
        <v>1927</v>
      </c>
      <c r="H18" s="1175" t="s">
        <v>239</v>
      </c>
      <c r="I18" s="1174"/>
      <c r="J18" s="1179"/>
      <c r="K18" s="1179"/>
      <c r="L18" s="1176" t="s">
        <v>1928</v>
      </c>
      <c r="M18" s="1199">
        <v>5600</v>
      </c>
      <c r="N18" s="1196"/>
      <c r="O18" s="383"/>
      <c r="P18" s="1174"/>
      <c r="Q18" s="1200">
        <v>5600</v>
      </c>
      <c r="R18" s="1201"/>
      <c r="S18" s="1201"/>
      <c r="T18" s="1201"/>
      <c r="U18" s="1201"/>
      <c r="V18" s="1201"/>
      <c r="W18" s="1201"/>
      <c r="X18" s="1201"/>
      <c r="Y18" s="1201"/>
      <c r="Z18" s="1201"/>
      <c r="AA18" s="1172"/>
      <c r="AB18" s="1174" t="s">
        <v>893</v>
      </c>
    </row>
    <row r="19" spans="1:28" ht="43.5" customHeight="1">
      <c r="A19" s="223"/>
      <c r="B19" s="223"/>
      <c r="C19" s="1198"/>
      <c r="D19" s="1179"/>
      <c r="E19" s="1181"/>
      <c r="F19" s="1181"/>
      <c r="G19" s="1181"/>
      <c r="H19" s="1175"/>
      <c r="I19" s="1174"/>
      <c r="J19" s="1179"/>
      <c r="K19" s="1179"/>
      <c r="L19" s="1176" t="s">
        <v>1929</v>
      </c>
      <c r="M19" s="1199">
        <v>4000</v>
      </c>
      <c r="N19" s="1196"/>
      <c r="O19" s="383"/>
      <c r="P19" s="1174"/>
      <c r="Q19" s="1200">
        <v>4000</v>
      </c>
      <c r="R19" s="1201"/>
      <c r="S19" s="1201"/>
      <c r="T19" s="1201"/>
      <c r="U19" s="1201"/>
      <c r="V19" s="1201"/>
      <c r="W19" s="1201"/>
      <c r="X19" s="1201"/>
      <c r="Y19" s="1201"/>
      <c r="Z19" s="1201"/>
      <c r="AA19" s="1197"/>
      <c r="AB19" s="1174"/>
    </row>
    <row r="20" spans="1:28" ht="111.65" customHeight="1">
      <c r="A20" s="223"/>
      <c r="B20" s="223"/>
      <c r="C20" s="1194"/>
      <c r="D20" s="1202"/>
      <c r="E20" s="375"/>
      <c r="F20" s="372"/>
      <c r="G20" s="1181"/>
      <c r="H20" s="1175" t="s">
        <v>239</v>
      </c>
      <c r="I20" s="1174"/>
      <c r="J20" s="383"/>
      <c r="K20" s="383"/>
      <c r="L20" s="1181" t="s">
        <v>1930</v>
      </c>
      <c r="M20" s="1199">
        <v>5400</v>
      </c>
      <c r="N20" s="1203"/>
      <c r="O20" s="381"/>
      <c r="P20" s="381"/>
      <c r="Q20" s="1199">
        <v>5400</v>
      </c>
      <c r="R20" s="381"/>
      <c r="S20" s="381"/>
      <c r="T20" s="381"/>
      <c r="U20" s="381"/>
      <c r="V20" s="381"/>
      <c r="W20" s="381"/>
      <c r="X20" s="381"/>
      <c r="Y20" s="381"/>
      <c r="Z20" s="381"/>
      <c r="AA20" s="1197"/>
      <c r="AB20" s="1174" t="s">
        <v>893</v>
      </c>
    </row>
    <row r="21" spans="1:28" ht="41.25" customHeight="1">
      <c r="A21" s="223"/>
      <c r="B21" s="223"/>
      <c r="C21" s="1194"/>
      <c r="D21" s="1202"/>
      <c r="E21" s="375"/>
      <c r="F21" s="372"/>
      <c r="G21" s="372"/>
      <c r="H21" s="1175" t="s">
        <v>239</v>
      </c>
      <c r="I21" s="383"/>
      <c r="J21" s="1174"/>
      <c r="K21" s="383"/>
      <c r="L21" s="1181" t="s">
        <v>1931</v>
      </c>
      <c r="M21" s="1199">
        <v>6000</v>
      </c>
      <c r="N21" s="379"/>
      <c r="O21" s="381"/>
      <c r="P21" s="381"/>
      <c r="Q21" s="1199">
        <v>6000</v>
      </c>
      <c r="R21" s="381"/>
      <c r="S21" s="381"/>
      <c r="T21" s="381"/>
      <c r="U21" s="381"/>
      <c r="V21" s="381"/>
      <c r="W21" s="381"/>
      <c r="X21" s="381"/>
      <c r="Y21" s="381"/>
      <c r="Z21" s="381"/>
      <c r="AA21" s="1197"/>
      <c r="AB21" s="1174" t="s">
        <v>893</v>
      </c>
    </row>
    <row r="22" spans="1:28" ht="30" customHeight="1">
      <c r="A22" s="1290">
        <v>1</v>
      </c>
      <c r="B22" s="1290">
        <v>3</v>
      </c>
      <c r="C22" s="1290">
        <v>2</v>
      </c>
      <c r="D22" s="1298">
        <v>2</v>
      </c>
      <c r="E22" s="3797" t="s">
        <v>1932</v>
      </c>
      <c r="F22" s="3798"/>
      <c r="G22" s="3798"/>
      <c r="H22" s="3798"/>
      <c r="I22" s="3798"/>
      <c r="J22" s="3798"/>
      <c r="K22" s="3798"/>
      <c r="L22" s="3798"/>
      <c r="M22" s="1299"/>
      <c r="N22" s="1300">
        <f>SUM(O22:Z22)</f>
        <v>8400</v>
      </c>
      <c r="O22" s="1301">
        <f t="shared" ref="O22:Z22" si="2">SUM(O23:O24)</f>
        <v>0</v>
      </c>
      <c r="P22" s="1301">
        <f t="shared" si="2"/>
        <v>0</v>
      </c>
      <c r="Q22" s="1301">
        <f t="shared" si="2"/>
        <v>0</v>
      </c>
      <c r="R22" s="1301">
        <f t="shared" si="2"/>
        <v>8400</v>
      </c>
      <c r="S22" s="1301">
        <f t="shared" si="2"/>
        <v>0</v>
      </c>
      <c r="T22" s="1301">
        <f t="shared" si="2"/>
        <v>0</v>
      </c>
      <c r="U22" s="1301">
        <f t="shared" si="2"/>
        <v>0</v>
      </c>
      <c r="V22" s="1301">
        <f t="shared" si="2"/>
        <v>0</v>
      </c>
      <c r="W22" s="1301">
        <f t="shared" si="2"/>
        <v>0</v>
      </c>
      <c r="X22" s="1301">
        <f t="shared" si="2"/>
        <v>0</v>
      </c>
      <c r="Y22" s="1301">
        <f t="shared" si="2"/>
        <v>0</v>
      </c>
      <c r="Z22" s="1301">
        <f t="shared" si="2"/>
        <v>0</v>
      </c>
      <c r="AA22" s="1297" t="s">
        <v>2066</v>
      </c>
      <c r="AB22" s="423" t="s">
        <v>893</v>
      </c>
    </row>
    <row r="23" spans="1:28" ht="42.75" customHeight="1">
      <c r="A23" s="1171">
        <v>1</v>
      </c>
      <c r="B23" s="1171">
        <v>3</v>
      </c>
      <c r="C23" s="1172">
        <v>2</v>
      </c>
      <c r="D23" s="372"/>
      <c r="E23" s="3770" t="s">
        <v>1933</v>
      </c>
      <c r="F23" s="3773" t="s">
        <v>1934</v>
      </c>
      <c r="G23" s="3773" t="s">
        <v>1935</v>
      </c>
      <c r="H23" s="1187"/>
      <c r="I23" s="1187" t="s">
        <v>239</v>
      </c>
      <c r="K23" s="1204"/>
      <c r="L23" s="1205" t="s">
        <v>1936</v>
      </c>
      <c r="M23" s="1206">
        <v>4900</v>
      </c>
      <c r="N23" s="1207"/>
      <c r="O23" s="1208"/>
      <c r="P23" s="1206"/>
      <c r="Q23" s="1206"/>
      <c r="R23" s="1206">
        <v>4900</v>
      </c>
      <c r="S23" s="1206"/>
      <c r="T23" s="1206"/>
      <c r="U23" s="1206"/>
      <c r="V23" s="1206"/>
      <c r="W23" s="1206"/>
      <c r="X23" s="1206"/>
      <c r="Y23" s="1206"/>
      <c r="Z23" s="1209"/>
      <c r="AA23" s="1210" t="s">
        <v>1937</v>
      </c>
      <c r="AB23" s="372"/>
    </row>
    <row r="24" spans="1:28" ht="63.75" customHeight="1">
      <c r="A24" s="223"/>
      <c r="B24" s="223"/>
      <c r="C24" s="223"/>
      <c r="D24" s="372"/>
      <c r="E24" s="3772"/>
      <c r="F24" s="3775"/>
      <c r="G24" s="3775"/>
      <c r="H24" s="1187"/>
      <c r="I24" s="1204"/>
      <c r="J24" s="1187"/>
      <c r="K24" s="1204"/>
      <c r="L24" s="1205" t="s">
        <v>1938</v>
      </c>
      <c r="M24" s="1206">
        <v>3500</v>
      </c>
      <c r="N24" s="1207"/>
      <c r="P24" s="1206"/>
      <c r="Q24" s="1206"/>
      <c r="R24" s="1206">
        <v>3500</v>
      </c>
      <c r="S24" s="1206"/>
      <c r="T24" s="1206"/>
      <c r="U24" s="1206"/>
      <c r="V24" s="1206"/>
      <c r="W24" s="1206"/>
      <c r="X24" s="1206"/>
      <c r="Y24" s="1206"/>
      <c r="Z24" s="1209"/>
      <c r="AA24" s="1210"/>
      <c r="AB24" s="372"/>
    </row>
    <row r="25" spans="1:28" ht="29.25" customHeight="1">
      <c r="A25" s="1290">
        <v>1</v>
      </c>
      <c r="B25" s="1290">
        <v>3</v>
      </c>
      <c r="C25" s="1290">
        <v>2</v>
      </c>
      <c r="D25" s="1303">
        <v>3</v>
      </c>
      <c r="E25" s="3785" t="s">
        <v>1939</v>
      </c>
      <c r="F25" s="3786"/>
      <c r="G25" s="3786"/>
      <c r="H25" s="3786"/>
      <c r="I25" s="3786"/>
      <c r="J25" s="3786"/>
      <c r="K25" s="3786"/>
      <c r="L25" s="3787"/>
      <c r="M25" s="1304">
        <f>SUM(X25:Y25)</f>
        <v>3800</v>
      </c>
      <c r="N25" s="1305">
        <f>SUM(O25:Z25)</f>
        <v>38050</v>
      </c>
      <c r="O25" s="1305">
        <f t="shared" ref="O25:Z25" si="3">SUM(O26:O36)</f>
        <v>0</v>
      </c>
      <c r="P25" s="1305">
        <f t="shared" si="3"/>
        <v>0</v>
      </c>
      <c r="Q25" s="1306">
        <f t="shared" si="3"/>
        <v>10625</v>
      </c>
      <c r="R25" s="1306">
        <f t="shared" si="3"/>
        <v>0</v>
      </c>
      <c r="S25" s="1306">
        <f t="shared" si="3"/>
        <v>11000</v>
      </c>
      <c r="T25" s="1305">
        <f t="shared" si="3"/>
        <v>500</v>
      </c>
      <c r="U25" s="1305">
        <f t="shared" si="3"/>
        <v>625</v>
      </c>
      <c r="V25" s="1305">
        <f t="shared" si="3"/>
        <v>2500</v>
      </c>
      <c r="W25" s="1306">
        <f t="shared" si="3"/>
        <v>9000</v>
      </c>
      <c r="X25" s="1305">
        <f t="shared" si="3"/>
        <v>1000</v>
      </c>
      <c r="Y25" s="1305">
        <f t="shared" si="3"/>
        <v>2800</v>
      </c>
      <c r="Z25" s="1305">
        <f t="shared" si="3"/>
        <v>0</v>
      </c>
      <c r="AA25" s="1297" t="s">
        <v>2066</v>
      </c>
      <c r="AB25" s="423" t="s">
        <v>893</v>
      </c>
    </row>
    <row r="26" spans="1:28" ht="61.5" customHeight="1">
      <c r="A26" s="1171">
        <v>1</v>
      </c>
      <c r="B26" s="1171">
        <v>3</v>
      </c>
      <c r="C26" s="1172">
        <v>2</v>
      </c>
      <c r="D26" s="372"/>
      <c r="E26" s="1211" t="s">
        <v>1940</v>
      </c>
      <c r="F26" s="1212" t="s">
        <v>1941</v>
      </c>
      <c r="G26" s="1213" t="s">
        <v>1942</v>
      </c>
      <c r="H26" s="1187"/>
      <c r="I26" s="1187" t="s">
        <v>239</v>
      </c>
      <c r="J26" s="1187"/>
      <c r="K26" s="1187" t="s">
        <v>239</v>
      </c>
      <c r="L26" s="1205" t="s">
        <v>1943</v>
      </c>
      <c r="M26" s="1206">
        <v>2000</v>
      </c>
      <c r="N26" s="1214"/>
      <c r="O26" s="1208"/>
      <c r="P26" s="1206"/>
      <c r="Q26" s="1206"/>
      <c r="R26" s="1206"/>
      <c r="S26" s="1206">
        <v>1000</v>
      </c>
      <c r="T26" s="1206"/>
      <c r="U26" s="1206"/>
      <c r="V26" s="1206"/>
      <c r="W26" s="1206"/>
      <c r="X26" s="1206"/>
      <c r="Y26" s="1206">
        <v>1000</v>
      </c>
      <c r="Z26" s="1209"/>
      <c r="AA26" s="1210" t="s">
        <v>1944</v>
      </c>
      <c r="AB26" s="372"/>
    </row>
    <row r="27" spans="1:28" ht="123" customHeight="1">
      <c r="A27" s="223"/>
      <c r="B27" s="223"/>
      <c r="C27" s="223"/>
      <c r="D27" s="1215"/>
      <c r="E27" s="1216" t="s">
        <v>1945</v>
      </c>
      <c r="F27" s="1212" t="s">
        <v>1946</v>
      </c>
      <c r="G27" s="1213" t="s">
        <v>1947</v>
      </c>
      <c r="H27" s="1187"/>
      <c r="I27" s="1187" t="s">
        <v>239</v>
      </c>
      <c r="J27" s="1204"/>
      <c r="K27" s="1187" t="s">
        <v>239</v>
      </c>
      <c r="L27" s="1217" t="s">
        <v>1948</v>
      </c>
      <c r="M27" s="1206">
        <v>1500</v>
      </c>
      <c r="N27" s="1214"/>
      <c r="O27" s="1208"/>
      <c r="P27" s="1206"/>
      <c r="Q27" s="1206"/>
      <c r="R27" s="1206"/>
      <c r="S27" s="1206"/>
      <c r="T27" s="1206">
        <v>500</v>
      </c>
      <c r="U27" s="1206"/>
      <c r="V27" s="1206"/>
      <c r="W27" s="1206"/>
      <c r="X27" s="1206">
        <v>1000</v>
      </c>
      <c r="Y27" s="1206"/>
      <c r="Z27" s="1209"/>
      <c r="AA27" s="1210" t="s">
        <v>1944</v>
      </c>
      <c r="AB27" s="372"/>
    </row>
    <row r="28" spans="1:28" ht="144.75" customHeight="1">
      <c r="A28" s="223"/>
      <c r="B28" s="223"/>
      <c r="C28" s="223"/>
      <c r="D28" s="372"/>
      <c r="E28" s="1218" t="s">
        <v>1949</v>
      </c>
      <c r="F28" s="1219" t="s">
        <v>1950</v>
      </c>
      <c r="G28" s="1220" t="s">
        <v>1951</v>
      </c>
      <c r="H28" s="1187"/>
      <c r="I28" s="1187"/>
      <c r="J28" s="1187" t="s">
        <v>239</v>
      </c>
      <c r="K28" s="1187"/>
      <c r="L28" s="1205" t="s">
        <v>1952</v>
      </c>
      <c r="M28" s="1206">
        <v>2500</v>
      </c>
      <c r="N28" s="1214"/>
      <c r="O28" s="1221"/>
      <c r="P28" s="348"/>
      <c r="Q28" s="348"/>
      <c r="R28" s="1206"/>
      <c r="S28" s="1206"/>
      <c r="T28" s="1206"/>
      <c r="U28" s="1206"/>
      <c r="V28" s="1206">
        <v>2500</v>
      </c>
      <c r="W28" s="1206"/>
      <c r="X28" s="1206"/>
      <c r="Y28" s="1206"/>
      <c r="Z28" s="1209"/>
      <c r="AA28" s="1210" t="s">
        <v>1944</v>
      </c>
      <c r="AB28" s="372"/>
    </row>
    <row r="29" spans="1:28" ht="55.5" customHeight="1">
      <c r="A29" s="223"/>
      <c r="B29" s="223"/>
      <c r="C29" s="223"/>
      <c r="D29" s="372"/>
      <c r="E29" s="3788" t="s">
        <v>1953</v>
      </c>
      <c r="F29" s="3791" t="s">
        <v>1954</v>
      </c>
      <c r="G29" s="3759" t="s">
        <v>1955</v>
      </c>
      <c r="H29" s="1187"/>
      <c r="I29" s="1187"/>
      <c r="J29" s="1187" t="s">
        <v>239</v>
      </c>
      <c r="K29" s="1187"/>
      <c r="L29" s="1205" t="s">
        <v>1956</v>
      </c>
      <c r="M29" s="1214">
        <v>2800</v>
      </c>
      <c r="N29" s="1214"/>
      <c r="O29" s="1208"/>
      <c r="P29" s="1206"/>
      <c r="Q29" s="1206"/>
      <c r="R29" s="1206"/>
      <c r="S29" s="1206"/>
      <c r="T29" s="1206"/>
      <c r="U29" s="1206"/>
      <c r="V29" s="1206"/>
      <c r="W29" s="1214">
        <v>2800</v>
      </c>
      <c r="X29" s="1206"/>
      <c r="Y29" s="1206"/>
      <c r="Z29" s="1209"/>
      <c r="AA29" s="1210" t="s">
        <v>1944</v>
      </c>
      <c r="AB29" s="372"/>
    </row>
    <row r="30" spans="1:28" ht="55.5" customHeight="1">
      <c r="A30" s="223"/>
      <c r="B30" s="223"/>
      <c r="C30" s="223"/>
      <c r="D30" s="372"/>
      <c r="E30" s="3789"/>
      <c r="F30" s="3792"/>
      <c r="G30" s="3794"/>
      <c r="H30" s="1187"/>
      <c r="I30" s="1187"/>
      <c r="J30" s="1187"/>
      <c r="K30" s="1187"/>
      <c r="L30" s="1205" t="s">
        <v>1957</v>
      </c>
      <c r="M30" s="1214">
        <v>2000</v>
      </c>
      <c r="N30" s="1214"/>
      <c r="O30" s="1208"/>
      <c r="P30" s="1206"/>
      <c r="S30" s="1206"/>
      <c r="T30" s="1206"/>
      <c r="U30" s="1206"/>
      <c r="V30" s="1206"/>
      <c r="W30" s="1214">
        <v>2000</v>
      </c>
      <c r="X30" s="1206"/>
      <c r="Y30" s="1206"/>
      <c r="Z30" s="1209"/>
      <c r="AA30" s="1210"/>
      <c r="AB30" s="372"/>
    </row>
    <row r="31" spans="1:28" ht="44.25" customHeight="1">
      <c r="A31" s="223"/>
      <c r="B31" s="223"/>
      <c r="C31" s="223"/>
      <c r="D31" s="372"/>
      <c r="E31" s="3790"/>
      <c r="F31" s="3793"/>
      <c r="G31" s="3760"/>
      <c r="H31" s="1187"/>
      <c r="I31" s="1187"/>
      <c r="J31" s="1187"/>
      <c r="K31" s="1187"/>
      <c r="L31" s="1205" t="s">
        <v>1958</v>
      </c>
      <c r="M31" s="1214">
        <v>2400</v>
      </c>
      <c r="N31" s="1214"/>
      <c r="O31" s="1208"/>
      <c r="P31" s="1206"/>
      <c r="Q31" s="1206"/>
      <c r="R31" s="1206"/>
      <c r="S31" s="1206"/>
      <c r="T31" s="1206"/>
      <c r="U31" s="1206"/>
      <c r="V31" s="1206"/>
      <c r="W31" s="1214">
        <v>2400</v>
      </c>
      <c r="X31" s="1206"/>
      <c r="Y31" s="1206"/>
      <c r="Z31" s="1209"/>
      <c r="AA31" s="1210"/>
      <c r="AB31" s="372"/>
    </row>
    <row r="32" spans="1:28" ht="66.75" customHeight="1">
      <c r="A32" s="223"/>
      <c r="B32" s="223"/>
      <c r="C32" s="223"/>
      <c r="D32" s="372"/>
      <c r="E32" s="1222" t="s">
        <v>1959</v>
      </c>
      <c r="F32" s="1223" t="s">
        <v>1960</v>
      </c>
      <c r="G32" s="1181" t="s">
        <v>1961</v>
      </c>
      <c r="H32" s="1187" t="s">
        <v>239</v>
      </c>
      <c r="I32" s="1187"/>
      <c r="J32" s="1187" t="s">
        <v>239</v>
      </c>
      <c r="K32" s="1187"/>
      <c r="L32" s="1205" t="s">
        <v>1962</v>
      </c>
      <c r="M32" s="1214">
        <v>1250</v>
      </c>
      <c r="N32" s="1214"/>
      <c r="O32" s="1208"/>
      <c r="P32" s="1206"/>
      <c r="Q32" s="1207">
        <v>625</v>
      </c>
      <c r="R32" s="1206"/>
      <c r="S32" s="1206"/>
      <c r="T32" s="1206"/>
      <c r="U32" s="1206">
        <v>625</v>
      </c>
      <c r="V32" s="1206"/>
      <c r="W32" s="1214"/>
      <c r="X32" s="1206"/>
      <c r="Y32" s="1206"/>
      <c r="Z32" s="1209"/>
      <c r="AA32" s="1210" t="s">
        <v>1944</v>
      </c>
      <c r="AB32" s="372"/>
    </row>
    <row r="33" spans="1:30" s="1230" customFormat="1" ht="70.5" customHeight="1">
      <c r="A33" s="1224"/>
      <c r="B33" s="1224"/>
      <c r="C33" s="1224"/>
      <c r="D33" s="95"/>
      <c r="E33" s="3795" t="s">
        <v>1963</v>
      </c>
      <c r="F33" s="3796" t="s">
        <v>1964</v>
      </c>
      <c r="G33" s="3747" t="s">
        <v>1965</v>
      </c>
      <c r="H33" s="1187" t="s">
        <v>239</v>
      </c>
      <c r="I33" s="1187"/>
      <c r="J33" s="1187"/>
      <c r="K33" s="1187"/>
      <c r="L33" s="1509" t="s">
        <v>1966</v>
      </c>
      <c r="M33" s="1225"/>
      <c r="N33" s="1225"/>
      <c r="O33" s="1226"/>
      <c r="P33" s="1227"/>
      <c r="Q33" s="1225"/>
      <c r="R33" s="1227"/>
      <c r="S33" s="1227"/>
      <c r="T33" s="1227"/>
      <c r="U33" s="1227"/>
      <c r="V33" s="1227"/>
      <c r="W33" s="1225"/>
      <c r="X33" s="1227"/>
      <c r="Y33" s="1227"/>
      <c r="Z33" s="1228"/>
      <c r="AA33" s="1229" t="s">
        <v>1967</v>
      </c>
      <c r="AB33" s="94"/>
      <c r="AD33" s="1231" t="s">
        <v>1968</v>
      </c>
    </row>
    <row r="34" spans="1:30" s="1230" customFormat="1" ht="115.5" customHeight="1">
      <c r="A34" s="1224"/>
      <c r="B34" s="1224"/>
      <c r="C34" s="1224"/>
      <c r="D34" s="95"/>
      <c r="E34" s="3795"/>
      <c r="F34" s="3796"/>
      <c r="G34" s="3747"/>
      <c r="H34" s="1187"/>
      <c r="I34" s="1187"/>
      <c r="J34" s="1187"/>
      <c r="K34" s="1187"/>
      <c r="L34" s="1509" t="s">
        <v>1969</v>
      </c>
      <c r="M34" s="1225">
        <v>10000</v>
      </c>
      <c r="N34" s="1225"/>
      <c r="O34" s="1226"/>
      <c r="P34" s="1227"/>
      <c r="Q34" s="1225">
        <v>10000</v>
      </c>
      <c r="R34" s="1227"/>
      <c r="S34" s="1227"/>
      <c r="T34" s="1227"/>
      <c r="U34" s="1227"/>
      <c r="V34" s="1227"/>
      <c r="W34" s="1225"/>
      <c r="X34" s="1227"/>
      <c r="Y34" s="1227"/>
      <c r="Z34" s="1228"/>
      <c r="AA34" s="1229"/>
      <c r="AB34" s="94"/>
      <c r="AD34" s="1231"/>
    </row>
    <row r="35" spans="1:30" s="1230" customFormat="1" ht="122.25" customHeight="1">
      <c r="A35" s="1224"/>
      <c r="B35" s="1224"/>
      <c r="C35" s="1224"/>
      <c r="D35" s="95"/>
      <c r="E35" s="1232" t="s">
        <v>1970</v>
      </c>
      <c r="F35" s="1233" t="s">
        <v>1971</v>
      </c>
      <c r="G35" s="1234" t="s">
        <v>1972</v>
      </c>
      <c r="H35" s="1187"/>
      <c r="I35" s="1187" t="s">
        <v>239</v>
      </c>
      <c r="J35" s="1187"/>
      <c r="K35" s="1187"/>
      <c r="L35" s="1205" t="s">
        <v>1973</v>
      </c>
      <c r="M35" s="1225">
        <v>10000</v>
      </c>
      <c r="N35" s="1225"/>
      <c r="O35" s="1226"/>
      <c r="P35" s="1227"/>
      <c r="Q35" s="1225"/>
      <c r="R35" s="1227"/>
      <c r="S35" s="1225">
        <v>10000</v>
      </c>
      <c r="T35" s="1227"/>
      <c r="U35" s="1227"/>
      <c r="V35" s="1227"/>
      <c r="W35" s="1225"/>
      <c r="X35" s="1227"/>
      <c r="Y35" s="1227"/>
      <c r="Z35" s="1228"/>
      <c r="AA35" s="1229" t="s">
        <v>1967</v>
      </c>
      <c r="AB35" s="94"/>
      <c r="AD35" s="1231" t="s">
        <v>1968</v>
      </c>
    </row>
    <row r="36" spans="1:30" ht="69.75" customHeight="1">
      <c r="A36" s="223"/>
      <c r="B36" s="223"/>
      <c r="C36" s="223"/>
      <c r="D36" s="372"/>
      <c r="E36" s="1222" t="s">
        <v>1974</v>
      </c>
      <c r="F36" s="1213" t="s">
        <v>1975</v>
      </c>
      <c r="G36" s="1235" t="s">
        <v>1976</v>
      </c>
      <c r="H36" s="1187"/>
      <c r="I36" s="1187"/>
      <c r="J36" s="1187" t="s">
        <v>239</v>
      </c>
      <c r="K36" s="1187" t="s">
        <v>239</v>
      </c>
      <c r="L36" s="1213" t="s">
        <v>1977</v>
      </c>
      <c r="M36" s="1214">
        <v>3600</v>
      </c>
      <c r="N36" s="1214"/>
      <c r="O36" s="1208"/>
      <c r="P36" s="1206"/>
      <c r="Q36" s="1206"/>
      <c r="R36" s="1206"/>
      <c r="S36" s="1206"/>
      <c r="T36" s="1206"/>
      <c r="U36" s="1206"/>
      <c r="V36" s="1206"/>
      <c r="W36" s="1214">
        <v>1800</v>
      </c>
      <c r="X36" s="1206"/>
      <c r="Y36" s="1214">
        <v>1800</v>
      </c>
      <c r="Z36" s="1209"/>
      <c r="AA36" s="1210" t="s">
        <v>1944</v>
      </c>
      <c r="AB36" s="372"/>
    </row>
    <row r="37" spans="1:30" ht="25.5" customHeight="1">
      <c r="A37" s="1290">
        <v>1</v>
      </c>
      <c r="B37" s="1290">
        <v>3</v>
      </c>
      <c r="C37" s="1290">
        <v>2</v>
      </c>
      <c r="D37" s="1307">
        <v>4</v>
      </c>
      <c r="E37" s="3767" t="s">
        <v>1978</v>
      </c>
      <c r="F37" s="3768"/>
      <c r="G37" s="3768"/>
      <c r="H37" s="3768"/>
      <c r="I37" s="3768"/>
      <c r="J37" s="3768"/>
      <c r="K37" s="3768"/>
      <c r="L37" s="3769"/>
      <c r="M37" s="1308"/>
      <c r="N37" s="1309">
        <f>SUM(M38:M41)</f>
        <v>10920</v>
      </c>
      <c r="O37" s="1310"/>
      <c r="P37" s="1300">
        <f>SUM(P38:P41)</f>
        <v>0</v>
      </c>
      <c r="Q37" s="1300">
        <f t="shared" ref="Q37:Z37" si="4">SUM(Q38:Q41)</f>
        <v>0</v>
      </c>
      <c r="R37" s="1300">
        <f t="shared" si="4"/>
        <v>8400</v>
      </c>
      <c r="S37" s="1300">
        <f t="shared" si="4"/>
        <v>1440</v>
      </c>
      <c r="T37" s="1300">
        <f t="shared" si="4"/>
        <v>0</v>
      </c>
      <c r="U37" s="1300">
        <f t="shared" si="4"/>
        <v>0</v>
      </c>
      <c r="V37" s="1300">
        <f t="shared" si="4"/>
        <v>0</v>
      </c>
      <c r="W37" s="1300">
        <f t="shared" si="4"/>
        <v>1080</v>
      </c>
      <c r="X37" s="1300">
        <f t="shared" si="4"/>
        <v>0</v>
      </c>
      <c r="Y37" s="1300">
        <f t="shared" si="4"/>
        <v>0</v>
      </c>
      <c r="Z37" s="1300">
        <f t="shared" si="4"/>
        <v>0</v>
      </c>
      <c r="AA37" s="1297" t="s">
        <v>2066</v>
      </c>
      <c r="AB37" s="423" t="s">
        <v>893</v>
      </c>
    </row>
    <row r="38" spans="1:30" ht="43.5" customHeight="1">
      <c r="A38" s="1171">
        <v>1</v>
      </c>
      <c r="B38" s="1171">
        <v>3</v>
      </c>
      <c r="C38" s="1172">
        <v>2</v>
      </c>
      <c r="D38" s="372"/>
      <c r="E38" s="3770" t="s">
        <v>1979</v>
      </c>
      <c r="F38" s="3773" t="s">
        <v>1980</v>
      </c>
      <c r="G38" s="1213"/>
      <c r="H38" s="1187"/>
      <c r="I38" s="1187" t="s">
        <v>239</v>
      </c>
      <c r="J38" s="1236"/>
      <c r="K38" s="1236"/>
      <c r="L38" s="1205" t="s">
        <v>1981</v>
      </c>
      <c r="M38" s="1206">
        <v>4200</v>
      </c>
      <c r="N38" s="1207"/>
      <c r="O38" s="1237"/>
      <c r="P38" s="1206"/>
      <c r="Q38" s="1187"/>
      <c r="R38" s="1206">
        <v>4200</v>
      </c>
      <c r="S38" s="1237"/>
      <c r="T38" s="1237"/>
      <c r="U38" s="1237"/>
      <c r="V38" s="1237"/>
      <c r="W38" s="1237"/>
      <c r="X38" s="1237"/>
      <c r="Y38" s="1237"/>
      <c r="Z38" s="1237"/>
      <c r="AA38" s="1210" t="s">
        <v>1944</v>
      </c>
      <c r="AB38" s="372"/>
    </row>
    <row r="39" spans="1:30" ht="42" customHeight="1">
      <c r="A39" s="223"/>
      <c r="B39" s="223"/>
      <c r="C39" s="223"/>
      <c r="D39" s="372"/>
      <c r="E39" s="3771"/>
      <c r="F39" s="3774"/>
      <c r="G39" s="1213"/>
      <c r="H39" s="1187"/>
      <c r="I39" s="1187"/>
      <c r="J39" s="1236"/>
      <c r="K39" s="1236"/>
      <c r="L39" s="1205" t="s">
        <v>1982</v>
      </c>
      <c r="M39" s="1206">
        <v>3000</v>
      </c>
      <c r="N39" s="1238"/>
      <c r="O39" s="348"/>
      <c r="P39" s="348"/>
      <c r="Q39" s="1187"/>
      <c r="R39" s="1206">
        <v>3000</v>
      </c>
      <c r="S39" s="1237"/>
      <c r="T39" s="1237"/>
      <c r="U39" s="1237"/>
      <c r="V39" s="1237"/>
      <c r="W39" s="1237"/>
      <c r="X39" s="1237"/>
      <c r="Y39" s="1237"/>
      <c r="Z39" s="1237"/>
      <c r="AA39" s="1210"/>
      <c r="AB39" s="372"/>
    </row>
    <row r="40" spans="1:30" ht="44.25" customHeight="1">
      <c r="A40" s="223"/>
      <c r="B40" s="223"/>
      <c r="C40" s="223"/>
      <c r="D40" s="372"/>
      <c r="E40" s="3772"/>
      <c r="F40" s="3775"/>
      <c r="G40" s="1213"/>
      <c r="H40" s="1187"/>
      <c r="I40" s="1187"/>
      <c r="J40" s="1236"/>
      <c r="K40" s="1236"/>
      <c r="L40" s="1205" t="s">
        <v>1983</v>
      </c>
      <c r="M40" s="1206">
        <v>1200</v>
      </c>
      <c r="N40" s="1238"/>
      <c r="O40" s="1237"/>
      <c r="P40" s="1206"/>
      <c r="Q40" s="1187"/>
      <c r="R40" s="1206">
        <v>1200</v>
      </c>
      <c r="S40" s="1237"/>
      <c r="T40" s="1237"/>
      <c r="U40" s="1237"/>
      <c r="V40" s="1237"/>
      <c r="W40" s="1237"/>
      <c r="X40" s="1237"/>
      <c r="Y40" s="1237"/>
      <c r="Z40" s="1237"/>
      <c r="AA40" s="1210"/>
      <c r="AB40" s="372"/>
    </row>
    <row r="41" spans="1:30" ht="111" customHeight="1">
      <c r="A41" s="223"/>
      <c r="B41" s="223"/>
      <c r="C41" s="223"/>
      <c r="D41" s="372"/>
      <c r="E41" s="1239" t="s">
        <v>1984</v>
      </c>
      <c r="F41" s="1213" t="s">
        <v>1975</v>
      </c>
      <c r="G41" s="1235" t="s">
        <v>1976</v>
      </c>
      <c r="H41" s="1187"/>
      <c r="I41" s="1187" t="s">
        <v>239</v>
      </c>
      <c r="J41" s="1187" t="s">
        <v>239</v>
      </c>
      <c r="K41" s="1187"/>
      <c r="L41" s="1213" t="s">
        <v>1985</v>
      </c>
      <c r="M41" s="1190">
        <v>2520</v>
      </c>
      <c r="N41" s="1238"/>
      <c r="O41" s="1187"/>
      <c r="P41" s="1190"/>
      <c r="Q41" s="1240"/>
      <c r="R41" s="1240"/>
      <c r="S41" s="1190">
        <v>1440</v>
      </c>
      <c r="T41" s="1190"/>
      <c r="U41" s="1190"/>
      <c r="V41" s="1190"/>
      <c r="W41" s="1190">
        <v>1080</v>
      </c>
      <c r="X41" s="1190"/>
      <c r="Y41" s="1240"/>
      <c r="Z41" s="1240"/>
      <c r="AA41" s="1229" t="s">
        <v>1944</v>
      </c>
      <c r="AB41" s="372"/>
    </row>
    <row r="42" spans="1:30" s="1241" customFormat="1" ht="31.5" customHeight="1">
      <c r="A42" s="1311">
        <v>2</v>
      </c>
      <c r="B42" s="1311">
        <v>6</v>
      </c>
      <c r="C42" s="1311">
        <v>2</v>
      </c>
      <c r="D42" s="1311">
        <v>5</v>
      </c>
      <c r="E42" s="3174" t="s">
        <v>1986</v>
      </c>
      <c r="F42" s="3175"/>
      <c r="G42" s="3175"/>
      <c r="H42" s="3175"/>
      <c r="I42" s="3175"/>
      <c r="J42" s="3175"/>
      <c r="K42" s="3175"/>
      <c r="L42" s="3176"/>
      <c r="M42" s="1312"/>
      <c r="N42" s="1313">
        <f>SUM(O42:Z42)</f>
        <v>15600</v>
      </c>
      <c r="O42" s="1314">
        <f>SUM(O43:O45)</f>
        <v>0</v>
      </c>
      <c r="P42" s="1314">
        <f t="shared" ref="P42:Y42" si="5">SUM(P43:P45)</f>
        <v>0</v>
      </c>
      <c r="Q42" s="1314">
        <f t="shared" si="5"/>
        <v>0</v>
      </c>
      <c r="R42" s="1314">
        <f t="shared" si="5"/>
        <v>7200</v>
      </c>
      <c r="S42" s="1314">
        <f t="shared" si="5"/>
        <v>0</v>
      </c>
      <c r="T42" s="1314">
        <f t="shared" si="5"/>
        <v>0</v>
      </c>
      <c r="U42" s="1314">
        <f t="shared" si="5"/>
        <v>0</v>
      </c>
      <c r="V42" s="1314">
        <f t="shared" si="5"/>
        <v>0</v>
      </c>
      <c r="W42" s="1314">
        <f t="shared" si="5"/>
        <v>0</v>
      </c>
      <c r="X42" s="1314">
        <f t="shared" si="5"/>
        <v>0</v>
      </c>
      <c r="Y42" s="1314">
        <f t="shared" si="5"/>
        <v>8400</v>
      </c>
      <c r="Z42" s="1314">
        <f>SUM(Z43:Z44)</f>
        <v>0</v>
      </c>
      <c r="AA42" s="1297" t="s">
        <v>2066</v>
      </c>
      <c r="AB42" s="423" t="s">
        <v>893</v>
      </c>
    </row>
    <row r="43" spans="1:30" ht="53.25" customHeight="1">
      <c r="A43" s="1242">
        <v>2</v>
      </c>
      <c r="B43" s="1242">
        <v>6</v>
      </c>
      <c r="C43" s="1242">
        <v>2</v>
      </c>
      <c r="D43" s="1243"/>
      <c r="E43" s="3754" t="s">
        <v>1987</v>
      </c>
      <c r="F43" s="3754" t="s">
        <v>1988</v>
      </c>
      <c r="G43" s="3754" t="s">
        <v>1989</v>
      </c>
      <c r="H43" s="1244"/>
      <c r="I43" s="1244"/>
      <c r="J43" s="1244"/>
      <c r="K43" s="1187" t="s">
        <v>239</v>
      </c>
      <c r="L43" s="1186" t="s">
        <v>1990</v>
      </c>
      <c r="M43" s="1245">
        <v>4900</v>
      </c>
      <c r="N43" s="1246"/>
      <c r="O43" s="1244"/>
      <c r="P43" s="1244"/>
      <c r="Q43" s="1244"/>
      <c r="R43" s="1244"/>
      <c r="S43" s="1244"/>
      <c r="T43" s="1244"/>
      <c r="U43" s="1244"/>
      <c r="V43" s="1244"/>
      <c r="W43" s="1244"/>
      <c r="X43" s="1244"/>
      <c r="Y43" s="1245">
        <v>4900</v>
      </c>
      <c r="Z43" s="1244"/>
      <c r="AA43" s="1193"/>
      <c r="AB43" s="1179"/>
    </row>
    <row r="44" spans="1:30" ht="57" customHeight="1">
      <c r="A44" s="1247"/>
      <c r="B44" s="1247"/>
      <c r="C44" s="1247"/>
      <c r="D44" s="1248"/>
      <c r="E44" s="3756"/>
      <c r="F44" s="3756"/>
      <c r="G44" s="3756"/>
      <c r="H44" s="1244"/>
      <c r="I44" s="1244"/>
      <c r="J44" s="1244"/>
      <c r="K44" s="1244"/>
      <c r="L44" s="1186" t="s">
        <v>1991</v>
      </c>
      <c r="M44" s="1245">
        <v>3500</v>
      </c>
      <c r="N44" s="1246"/>
      <c r="O44" s="1244"/>
      <c r="P44" s="1244"/>
      <c r="Q44" s="1244"/>
      <c r="R44" s="1244"/>
      <c r="S44" s="1244"/>
      <c r="T44" s="1244"/>
      <c r="U44" s="1244"/>
      <c r="V44" s="1244"/>
      <c r="W44" s="1244"/>
      <c r="X44" s="1244"/>
      <c r="Y44" s="1245">
        <v>3500</v>
      </c>
      <c r="Z44" s="1244"/>
      <c r="AA44" s="1193"/>
      <c r="AB44" s="1179"/>
    </row>
    <row r="45" spans="1:30" ht="144" customHeight="1">
      <c r="A45" s="1247"/>
      <c r="B45" s="1247"/>
      <c r="C45" s="1247"/>
      <c r="D45" s="1243"/>
      <c r="E45" s="1186" t="s">
        <v>1992</v>
      </c>
      <c r="F45" s="1186" t="s">
        <v>1993</v>
      </c>
      <c r="G45" s="1186" t="s">
        <v>1994</v>
      </c>
      <c r="H45" s="1187" t="s">
        <v>239</v>
      </c>
      <c r="I45" s="1244"/>
      <c r="J45" s="1187" t="s">
        <v>239</v>
      </c>
      <c r="K45" s="1244"/>
      <c r="L45" s="1186" t="s">
        <v>1995</v>
      </c>
      <c r="M45" s="1245">
        <v>7200</v>
      </c>
      <c r="N45" s="1249"/>
      <c r="O45" s="1244"/>
      <c r="P45" s="1244"/>
      <c r="Q45" s="1244"/>
      <c r="R45" s="1245">
        <v>7200</v>
      </c>
      <c r="S45" s="1244"/>
      <c r="T45" s="1244"/>
      <c r="U45" s="1244"/>
      <c r="V45" s="1244"/>
      <c r="W45" s="1244"/>
      <c r="X45" s="1244"/>
      <c r="Y45" s="1244"/>
      <c r="Z45" s="1244"/>
      <c r="AA45" s="1193" t="s">
        <v>1996</v>
      </c>
      <c r="AB45" s="1179"/>
    </row>
    <row r="46" spans="1:30" ht="27.75" customHeight="1">
      <c r="A46" s="1315">
        <v>1</v>
      </c>
      <c r="B46" s="1315">
        <v>3</v>
      </c>
      <c r="C46" s="1315">
        <v>2</v>
      </c>
      <c r="D46" s="1303">
        <v>6</v>
      </c>
      <c r="E46" s="3764" t="s">
        <v>1997</v>
      </c>
      <c r="F46" s="3765"/>
      <c r="G46" s="3765"/>
      <c r="H46" s="3765"/>
      <c r="I46" s="3765"/>
      <c r="J46" s="3765"/>
      <c r="K46" s="3765"/>
      <c r="L46" s="3766"/>
      <c r="M46" s="1316"/>
      <c r="N46" s="1317">
        <f>SUM(O46:Z46)</f>
        <v>0</v>
      </c>
      <c r="O46" s="1318">
        <f>SUM(O47:O51)</f>
        <v>0</v>
      </c>
      <c r="P46" s="1318">
        <f t="shared" ref="P46:Z46" si="6">SUM(P47:P51)</f>
        <v>0</v>
      </c>
      <c r="Q46" s="1318">
        <f t="shared" si="6"/>
        <v>0</v>
      </c>
      <c r="R46" s="1318">
        <f t="shared" si="6"/>
        <v>0</v>
      </c>
      <c r="S46" s="1318">
        <f t="shared" si="6"/>
        <v>0</v>
      </c>
      <c r="T46" s="1318">
        <f t="shared" si="6"/>
        <v>0</v>
      </c>
      <c r="U46" s="1318">
        <f t="shared" si="6"/>
        <v>0</v>
      </c>
      <c r="V46" s="1318">
        <f t="shared" si="6"/>
        <v>0</v>
      </c>
      <c r="W46" s="1318">
        <f t="shared" si="6"/>
        <v>0</v>
      </c>
      <c r="X46" s="1318">
        <f t="shared" si="6"/>
        <v>0</v>
      </c>
      <c r="Y46" s="1318">
        <f t="shared" si="6"/>
        <v>0</v>
      </c>
      <c r="Z46" s="1318">
        <f t="shared" si="6"/>
        <v>0</v>
      </c>
      <c r="AA46" s="1319" t="s">
        <v>2066</v>
      </c>
      <c r="AB46" s="1320" t="s">
        <v>893</v>
      </c>
    </row>
    <row r="47" spans="1:30" ht="44.25" customHeight="1">
      <c r="A47" s="1171">
        <v>1</v>
      </c>
      <c r="B47" s="1171">
        <v>3</v>
      </c>
      <c r="C47" s="1172">
        <v>2</v>
      </c>
      <c r="D47" s="372"/>
      <c r="E47" s="3776" t="s">
        <v>1998</v>
      </c>
      <c r="F47" s="3779" t="s">
        <v>1999</v>
      </c>
      <c r="G47" s="3779" t="s">
        <v>2000</v>
      </c>
      <c r="H47" s="1250"/>
      <c r="I47" s="1187" t="s">
        <v>239</v>
      </c>
      <c r="J47" s="1251"/>
      <c r="K47" s="1251"/>
      <c r="L47" s="3782" t="s">
        <v>2001</v>
      </c>
      <c r="M47" s="1252"/>
      <c r="N47" s="1253"/>
      <c r="O47" s="1254"/>
      <c r="P47" s="1254"/>
      <c r="Q47" s="1255"/>
      <c r="R47" s="1254"/>
      <c r="S47" s="1254"/>
      <c r="T47" s="1201"/>
      <c r="U47" s="381"/>
      <c r="V47" s="381"/>
      <c r="W47" s="381"/>
      <c r="X47" s="381"/>
      <c r="Y47" s="381"/>
      <c r="Z47" s="381"/>
      <c r="AA47" s="1256" t="s">
        <v>2002</v>
      </c>
      <c r="AB47" s="372"/>
    </row>
    <row r="48" spans="1:30" ht="48" customHeight="1">
      <c r="A48" s="223"/>
      <c r="B48" s="223"/>
      <c r="C48" s="223"/>
      <c r="D48" s="372"/>
      <c r="E48" s="3777"/>
      <c r="F48" s="3780"/>
      <c r="G48" s="3780"/>
      <c r="H48" s="1250"/>
      <c r="I48" s="1187" t="s">
        <v>239</v>
      </c>
      <c r="J48" s="1251"/>
      <c r="K48" s="1251"/>
      <c r="L48" s="3783"/>
      <c r="M48" s="1252"/>
      <c r="N48" s="1253"/>
      <c r="O48" s="348"/>
      <c r="P48" s="348"/>
      <c r="Q48" s="1255"/>
      <c r="R48" s="1254"/>
      <c r="S48" s="1254"/>
      <c r="T48" s="1201"/>
      <c r="U48" s="381"/>
      <c r="V48" s="381"/>
      <c r="W48" s="381"/>
      <c r="X48" s="381"/>
      <c r="Y48" s="381"/>
      <c r="Z48" s="381"/>
      <c r="AA48" s="372"/>
      <c r="AB48" s="372"/>
    </row>
    <row r="49" spans="1:28" ht="57" customHeight="1">
      <c r="A49" s="223"/>
      <c r="B49" s="223"/>
      <c r="C49" s="223"/>
      <c r="D49" s="372"/>
      <c r="E49" s="3777"/>
      <c r="F49" s="3780"/>
      <c r="G49" s="3780"/>
      <c r="H49" s="1250"/>
      <c r="I49" s="1187" t="s">
        <v>239</v>
      </c>
      <c r="J49" s="1251"/>
      <c r="K49" s="1251"/>
      <c r="L49" s="3783"/>
      <c r="M49" s="1252"/>
      <c r="N49" s="1253"/>
      <c r="O49" s="1254"/>
      <c r="P49" s="1254"/>
      <c r="Q49" s="1255"/>
      <c r="R49" s="1254"/>
      <c r="S49" s="1254"/>
      <c r="T49" s="1201"/>
      <c r="U49" s="381"/>
      <c r="V49" s="381"/>
      <c r="W49" s="381"/>
      <c r="X49" s="381"/>
      <c r="Y49" s="381"/>
      <c r="Z49" s="381"/>
      <c r="AA49" s="372"/>
      <c r="AB49" s="372"/>
    </row>
    <row r="50" spans="1:28" ht="33" customHeight="1">
      <c r="A50" s="223"/>
      <c r="B50" s="223"/>
      <c r="C50" s="223"/>
      <c r="D50" s="372"/>
      <c r="E50" s="3778"/>
      <c r="F50" s="3781"/>
      <c r="G50" s="3781"/>
      <c r="H50" s="375"/>
      <c r="I50" s="1187" t="s">
        <v>239</v>
      </c>
      <c r="J50" s="375"/>
      <c r="K50" s="375"/>
      <c r="L50" s="3783"/>
      <c r="M50" s="1252"/>
      <c r="N50" s="379"/>
      <c r="O50" s="382"/>
      <c r="P50" s="382"/>
      <c r="Q50" s="382"/>
      <c r="R50" s="382"/>
      <c r="S50" s="382"/>
      <c r="T50" s="1199"/>
      <c r="U50" s="382"/>
      <c r="V50" s="382"/>
      <c r="W50" s="382"/>
      <c r="X50" s="382"/>
      <c r="Y50" s="382"/>
      <c r="Z50" s="382"/>
      <c r="AA50" s="375"/>
      <c r="AB50" s="372"/>
    </row>
    <row r="51" spans="1:28" ht="118.5" customHeight="1">
      <c r="A51" s="223"/>
      <c r="B51" s="1257"/>
      <c r="C51" s="223"/>
      <c r="D51" s="372"/>
      <c r="E51" s="1176" t="s">
        <v>2003</v>
      </c>
      <c r="F51" s="1176" t="s">
        <v>2004</v>
      </c>
      <c r="G51" s="1176" t="s">
        <v>2005</v>
      </c>
      <c r="H51" s="1258"/>
      <c r="I51" s="1258"/>
      <c r="J51" s="1187" t="s">
        <v>239</v>
      </c>
      <c r="K51" s="1258"/>
      <c r="L51" s="3784"/>
      <c r="M51" s="1245"/>
      <c r="N51" s="1249"/>
      <c r="O51" s="1244"/>
      <c r="P51" s="1244"/>
      <c r="Q51" s="1259"/>
      <c r="R51" s="1244"/>
      <c r="S51" s="1244"/>
      <c r="T51" s="1244"/>
      <c r="U51" s="1245"/>
      <c r="V51" s="1244"/>
      <c r="W51" s="1244"/>
      <c r="X51" s="1244"/>
      <c r="Y51" s="1244"/>
      <c r="Z51" s="381"/>
      <c r="AA51" s="1256" t="s">
        <v>2002</v>
      </c>
      <c r="AB51" s="372"/>
    </row>
    <row r="52" spans="1:28" ht="24" customHeight="1">
      <c r="A52" s="1290">
        <v>1</v>
      </c>
      <c r="B52" s="1321">
        <v>3</v>
      </c>
      <c r="C52" s="1290">
        <v>2</v>
      </c>
      <c r="D52" s="1322">
        <v>7</v>
      </c>
      <c r="E52" s="3764" t="s">
        <v>2006</v>
      </c>
      <c r="F52" s="3765"/>
      <c r="G52" s="3765"/>
      <c r="H52" s="3765"/>
      <c r="I52" s="3765"/>
      <c r="J52" s="3765"/>
      <c r="K52" s="3765"/>
      <c r="L52" s="3766"/>
      <c r="M52" s="1316"/>
      <c r="N52" s="1323">
        <f>SUM(O52:Z52)</f>
        <v>95600</v>
      </c>
      <c r="O52" s="1318">
        <f>SUM(O53:O56)</f>
        <v>0</v>
      </c>
      <c r="P52" s="1318">
        <f t="shared" ref="P52:Z52" si="7">SUM(P53:P56)</f>
        <v>0</v>
      </c>
      <c r="Q52" s="1318">
        <f t="shared" si="7"/>
        <v>0</v>
      </c>
      <c r="R52" s="1318">
        <f t="shared" si="7"/>
        <v>47800</v>
      </c>
      <c r="S52" s="1318">
        <f t="shared" si="7"/>
        <v>0</v>
      </c>
      <c r="T52" s="1318">
        <f t="shared" si="7"/>
        <v>0</v>
      </c>
      <c r="U52" s="1318">
        <f t="shared" si="7"/>
        <v>47800</v>
      </c>
      <c r="V52" s="1318">
        <f t="shared" si="7"/>
        <v>0</v>
      </c>
      <c r="W52" s="1318">
        <f t="shared" si="7"/>
        <v>0</v>
      </c>
      <c r="X52" s="1318">
        <f t="shared" si="7"/>
        <v>0</v>
      </c>
      <c r="Y52" s="1318">
        <f t="shared" si="7"/>
        <v>0</v>
      </c>
      <c r="Z52" s="1318">
        <f t="shared" si="7"/>
        <v>0</v>
      </c>
      <c r="AA52" s="1324" t="s">
        <v>2066</v>
      </c>
      <c r="AB52" s="1302" t="s">
        <v>1048</v>
      </c>
    </row>
    <row r="53" spans="1:28" s="184" customFormat="1" ht="117.9" customHeight="1">
      <c r="A53" s="1171">
        <v>1</v>
      </c>
      <c r="B53" s="1171">
        <v>3</v>
      </c>
      <c r="C53" s="1172">
        <v>2</v>
      </c>
      <c r="D53" s="1260"/>
      <c r="E53" s="1261" t="s">
        <v>2007</v>
      </c>
      <c r="F53" s="1262" t="s">
        <v>2008</v>
      </c>
      <c r="G53" s="1262" t="s">
        <v>2009</v>
      </c>
      <c r="H53" s="1187" t="s">
        <v>239</v>
      </c>
      <c r="I53" s="1187" t="s">
        <v>239</v>
      </c>
      <c r="J53" s="1187" t="s">
        <v>239</v>
      </c>
      <c r="K53" s="1187" t="s">
        <v>239</v>
      </c>
      <c r="L53" s="1186" t="s">
        <v>2010</v>
      </c>
      <c r="M53" s="1189">
        <f>40*60*2</f>
        <v>4800</v>
      </c>
      <c r="N53" s="1263"/>
      <c r="O53" s="1189"/>
      <c r="P53" s="1189"/>
      <c r="Q53" s="1189"/>
      <c r="R53" s="1189">
        <v>2400</v>
      </c>
      <c r="S53" s="1189"/>
      <c r="T53" s="1189"/>
      <c r="U53" s="1189">
        <v>2400</v>
      </c>
      <c r="V53" s="1189"/>
      <c r="W53" s="1189"/>
      <c r="X53" s="1189"/>
      <c r="Y53" s="1189"/>
      <c r="Z53" s="1189"/>
      <c r="AA53" s="1193" t="s">
        <v>2011</v>
      </c>
      <c r="AB53" s="1179" t="s">
        <v>893</v>
      </c>
    </row>
    <row r="54" spans="1:28" s="184" customFormat="1" ht="168.75" customHeight="1">
      <c r="A54" s="1264"/>
      <c r="B54" s="1264"/>
      <c r="C54" s="1264"/>
      <c r="D54" s="1260"/>
      <c r="E54" s="1265" t="s">
        <v>2012</v>
      </c>
      <c r="F54" s="1266"/>
      <c r="G54" s="1267"/>
      <c r="H54" s="1262"/>
      <c r="I54" s="1187" t="s">
        <v>239</v>
      </c>
      <c r="J54" s="1262"/>
      <c r="K54" s="1262"/>
      <c r="L54" s="1265" t="s">
        <v>2013</v>
      </c>
      <c r="M54" s="1268">
        <v>90800</v>
      </c>
      <c r="N54" s="1268"/>
      <c r="O54" s="1269"/>
      <c r="P54" s="1269"/>
      <c r="Q54" s="1269"/>
      <c r="R54" s="1269">
        <v>45400</v>
      </c>
      <c r="S54" s="1269"/>
      <c r="T54" s="1269"/>
      <c r="U54" s="1268">
        <v>45400</v>
      </c>
      <c r="V54" s="1269"/>
      <c r="W54" s="1269"/>
      <c r="X54" s="1269"/>
      <c r="Y54" s="1269"/>
      <c r="Z54" s="1269"/>
      <c r="AA54" s="1266"/>
      <c r="AB54" s="1266"/>
    </row>
    <row r="55" spans="1:28" s="184" customFormat="1" ht="66.75" customHeight="1">
      <c r="A55" s="1264"/>
      <c r="B55" s="1264"/>
      <c r="C55" s="1264"/>
      <c r="D55" s="1260"/>
      <c r="E55" s="3759" t="s">
        <v>2014</v>
      </c>
      <c r="F55" s="3759" t="s">
        <v>2015</v>
      </c>
      <c r="G55" s="3761"/>
      <c r="H55" s="3750"/>
      <c r="I55" s="3763" t="s">
        <v>239</v>
      </c>
      <c r="J55" s="3763" t="s">
        <v>239</v>
      </c>
      <c r="K55" s="3750"/>
      <c r="L55" s="1270" t="s">
        <v>2016</v>
      </c>
      <c r="M55" s="1268"/>
      <c r="N55" s="1268"/>
      <c r="O55" s="1269"/>
      <c r="P55" s="1269"/>
      <c r="Q55" s="1269"/>
      <c r="R55" s="1269"/>
      <c r="S55" s="1269"/>
      <c r="T55" s="1269"/>
      <c r="U55" s="1269"/>
      <c r="V55" s="1269"/>
      <c r="W55" s="1269"/>
      <c r="X55" s="1269"/>
      <c r="Y55" s="1269"/>
      <c r="Z55" s="1269"/>
      <c r="AA55" s="1266"/>
      <c r="AB55" s="1266"/>
    </row>
    <row r="56" spans="1:28" s="184" customFormat="1" ht="84" customHeight="1">
      <c r="A56" s="1264"/>
      <c r="B56" s="1264"/>
      <c r="C56" s="1264"/>
      <c r="D56" s="1260"/>
      <c r="E56" s="3760"/>
      <c r="F56" s="3760"/>
      <c r="G56" s="3762"/>
      <c r="H56" s="3750"/>
      <c r="I56" s="3763"/>
      <c r="J56" s="3763"/>
      <c r="K56" s="3750"/>
      <c r="L56" s="1270" t="s">
        <v>2017</v>
      </c>
      <c r="M56" s="1268"/>
      <c r="N56" s="1268"/>
      <c r="O56" s="1269"/>
      <c r="P56" s="1269"/>
      <c r="Q56" s="1269"/>
      <c r="R56" s="1269"/>
      <c r="S56" s="1269"/>
      <c r="T56" s="1269"/>
      <c r="U56" s="1269"/>
      <c r="V56" s="1269"/>
      <c r="W56" s="1269"/>
      <c r="X56" s="1269"/>
      <c r="Y56" s="1269"/>
      <c r="Z56" s="1269"/>
      <c r="AA56" s="1266"/>
      <c r="AB56" s="1266"/>
    </row>
    <row r="57" spans="1:28" s="1271" customFormat="1" ht="24.75" customHeight="1">
      <c r="A57" s="424">
        <v>1</v>
      </c>
      <c r="B57" s="424">
        <v>3</v>
      </c>
      <c r="C57" s="424">
        <v>2</v>
      </c>
      <c r="D57" s="1303">
        <v>8</v>
      </c>
      <c r="E57" s="3751" t="s">
        <v>2018</v>
      </c>
      <c r="F57" s="3752"/>
      <c r="G57" s="3752"/>
      <c r="H57" s="3752"/>
      <c r="I57" s="3752"/>
      <c r="J57" s="3752"/>
      <c r="K57" s="3753"/>
      <c r="L57" s="1325"/>
      <c r="M57" s="1326"/>
      <c r="N57" s="1327">
        <f>SUM(O57:Z57)</f>
        <v>254600</v>
      </c>
      <c r="O57" s="1328">
        <f t="shared" ref="O57:Z57" si="8">SUM(O58:O64)</f>
        <v>0</v>
      </c>
      <c r="P57" s="1328">
        <f t="shared" si="8"/>
        <v>0</v>
      </c>
      <c r="Q57" s="1328">
        <f t="shared" si="8"/>
        <v>500</v>
      </c>
      <c r="R57" s="1328">
        <f t="shared" si="8"/>
        <v>500</v>
      </c>
      <c r="S57" s="1329">
        <f t="shared" si="8"/>
        <v>216500</v>
      </c>
      <c r="T57" s="1328">
        <f t="shared" si="8"/>
        <v>20900</v>
      </c>
      <c r="U57" s="1328">
        <f t="shared" si="8"/>
        <v>500</v>
      </c>
      <c r="V57" s="1328">
        <f t="shared" si="8"/>
        <v>8300</v>
      </c>
      <c r="W57" s="1328">
        <f t="shared" si="8"/>
        <v>500</v>
      </c>
      <c r="X57" s="1328">
        <f t="shared" si="8"/>
        <v>5900</v>
      </c>
      <c r="Y57" s="1328">
        <f t="shared" si="8"/>
        <v>500</v>
      </c>
      <c r="Z57" s="1328">
        <f t="shared" si="8"/>
        <v>500</v>
      </c>
      <c r="AA57" s="1330" t="s">
        <v>2066</v>
      </c>
      <c r="AB57" s="424" t="s">
        <v>893</v>
      </c>
    </row>
    <row r="58" spans="1:28" s="1273" customFormat="1" ht="63.75" customHeight="1">
      <c r="A58" s="1171">
        <v>1</v>
      </c>
      <c r="B58" s="1171">
        <v>3</v>
      </c>
      <c r="C58" s="1172">
        <v>2</v>
      </c>
      <c r="D58" s="1179"/>
      <c r="E58" s="3754" t="s">
        <v>2019</v>
      </c>
      <c r="F58" s="3754" t="s">
        <v>2020</v>
      </c>
      <c r="G58" s="3754" t="s">
        <v>2021</v>
      </c>
      <c r="H58" s="1193"/>
      <c r="I58" s="1193" t="s">
        <v>239</v>
      </c>
      <c r="J58" s="1193"/>
      <c r="K58" s="1193"/>
      <c r="L58" s="19" t="s">
        <v>2022</v>
      </c>
      <c r="M58" s="1189">
        <v>7000</v>
      </c>
      <c r="N58" s="1190"/>
      <c r="O58" s="1189"/>
      <c r="P58" s="1189"/>
      <c r="Q58" s="1272"/>
      <c r="R58" s="1272"/>
      <c r="S58" s="1189"/>
      <c r="T58" s="1189">
        <v>7000</v>
      </c>
      <c r="U58" s="1189"/>
      <c r="V58" s="1189"/>
      <c r="W58" s="1189"/>
      <c r="X58" s="1189"/>
      <c r="Y58" s="1189"/>
      <c r="Z58" s="1189"/>
      <c r="AA58" s="1193" t="s">
        <v>2023</v>
      </c>
      <c r="AB58" s="1202"/>
    </row>
    <row r="59" spans="1:28" s="1273" customFormat="1" ht="68.25" customHeight="1">
      <c r="A59" s="1191"/>
      <c r="B59" s="1191"/>
      <c r="C59" s="1191"/>
      <c r="D59" s="1179"/>
      <c r="E59" s="3755"/>
      <c r="F59" s="3755"/>
      <c r="G59" s="3755"/>
      <c r="H59" s="1193"/>
      <c r="I59" s="1193" t="s">
        <v>239</v>
      </c>
      <c r="J59" s="1193"/>
      <c r="K59" s="1193"/>
      <c r="L59" s="26" t="s">
        <v>2024</v>
      </c>
      <c r="M59" s="1189">
        <v>5000</v>
      </c>
      <c r="N59" s="1190"/>
      <c r="O59" s="1189"/>
      <c r="P59" s="1189"/>
      <c r="Q59" s="1189"/>
      <c r="R59" s="1189"/>
      <c r="S59" s="1189"/>
      <c r="T59" s="1189">
        <v>5000</v>
      </c>
      <c r="U59" s="1189"/>
      <c r="V59" s="1189"/>
      <c r="W59" s="1189"/>
      <c r="X59" s="1189"/>
      <c r="Y59" s="1189"/>
      <c r="Z59" s="1189"/>
      <c r="AA59" s="1274"/>
      <c r="AB59" s="1202"/>
    </row>
    <row r="60" spans="1:28" s="1273" customFormat="1" ht="58.5" customHeight="1">
      <c r="A60" s="1191"/>
      <c r="B60" s="1191"/>
      <c r="C60" s="1191"/>
      <c r="D60" s="1202"/>
      <c r="E60" s="3756"/>
      <c r="F60" s="3756"/>
      <c r="G60" s="3756"/>
      <c r="H60" s="1193"/>
      <c r="I60" s="1193" t="s">
        <v>239</v>
      </c>
      <c r="J60" s="1193"/>
      <c r="K60" s="1193"/>
      <c r="L60" s="1176" t="s">
        <v>2025</v>
      </c>
      <c r="M60" s="1177">
        <v>6000</v>
      </c>
      <c r="N60" s="1190"/>
      <c r="O60" s="1189"/>
      <c r="P60" s="1189"/>
      <c r="Q60" s="1189"/>
      <c r="R60" s="1189"/>
      <c r="S60" s="1189"/>
      <c r="T60" s="1189">
        <v>6000</v>
      </c>
      <c r="U60" s="1189"/>
      <c r="V60" s="1189"/>
      <c r="W60" s="1189"/>
      <c r="X60" s="1189"/>
      <c r="Y60" s="1189"/>
      <c r="Z60" s="1189"/>
      <c r="AA60" s="1274"/>
      <c r="AB60" s="1202"/>
    </row>
    <row r="61" spans="1:28" s="1273" customFormat="1" ht="63" customHeight="1">
      <c r="A61" s="1191"/>
      <c r="B61" s="1191"/>
      <c r="C61" s="1191"/>
      <c r="D61" s="1173"/>
      <c r="E61" s="3757" t="s">
        <v>2026</v>
      </c>
      <c r="F61" s="3757" t="s">
        <v>2027</v>
      </c>
      <c r="G61" s="3759" t="s">
        <v>2028</v>
      </c>
      <c r="H61" s="1179" t="s">
        <v>239</v>
      </c>
      <c r="I61" s="1179" t="s">
        <v>239</v>
      </c>
      <c r="J61" s="1179" t="s">
        <v>239</v>
      </c>
      <c r="K61" s="1179" t="s">
        <v>239</v>
      </c>
      <c r="L61" s="1275" t="s">
        <v>2029</v>
      </c>
      <c r="M61" s="1189">
        <f t="shared" ref="M61:M64" si="9">SUM(O61:Z61)</f>
        <v>5000</v>
      </c>
      <c r="N61" s="1276"/>
      <c r="O61" s="1196"/>
      <c r="P61" s="1196"/>
      <c r="Q61" s="1196">
        <f t="shared" ref="Q61:S61" si="10">25*20</f>
        <v>500</v>
      </c>
      <c r="R61" s="1196">
        <f t="shared" si="10"/>
        <v>500</v>
      </c>
      <c r="S61" s="1196">
        <f t="shared" si="10"/>
        <v>500</v>
      </c>
      <c r="T61" s="1196">
        <f>25*20</f>
        <v>500</v>
      </c>
      <c r="U61" s="1196">
        <f t="shared" ref="U61:Z61" si="11">25*20</f>
        <v>500</v>
      </c>
      <c r="V61" s="1196">
        <f t="shared" si="11"/>
        <v>500</v>
      </c>
      <c r="W61" s="1196">
        <f t="shared" si="11"/>
        <v>500</v>
      </c>
      <c r="X61" s="1196">
        <f t="shared" si="11"/>
        <v>500</v>
      </c>
      <c r="Y61" s="1196">
        <f t="shared" si="11"/>
        <v>500</v>
      </c>
      <c r="Z61" s="1196">
        <f t="shared" si="11"/>
        <v>500</v>
      </c>
      <c r="AA61" s="1202"/>
      <c r="AB61" s="1202"/>
    </row>
    <row r="62" spans="1:28" s="1273" customFormat="1" ht="85.5" customHeight="1">
      <c r="A62" s="1191"/>
      <c r="B62" s="1191"/>
      <c r="C62" s="1191"/>
      <c r="D62" s="1202"/>
      <c r="E62" s="3758"/>
      <c r="F62" s="3758"/>
      <c r="G62" s="3760"/>
      <c r="H62" s="1193"/>
      <c r="I62" s="1202"/>
      <c r="J62" s="1202"/>
      <c r="K62" s="1202"/>
      <c r="L62" s="26" t="s">
        <v>2030</v>
      </c>
      <c r="M62" s="1189">
        <f t="shared" si="9"/>
        <v>10800</v>
      </c>
      <c r="N62" s="1276"/>
      <c r="O62" s="1201"/>
      <c r="P62" s="1201"/>
      <c r="Q62" s="1201"/>
      <c r="R62" s="1201"/>
      <c r="S62" s="1201"/>
      <c r="T62" s="1201"/>
      <c r="U62" s="1201"/>
      <c r="V62" s="1277">
        <f>600*3*3</f>
        <v>5400</v>
      </c>
      <c r="W62" s="1201"/>
      <c r="X62" s="1277">
        <f>600*3*3</f>
        <v>5400</v>
      </c>
      <c r="Y62" s="1201"/>
      <c r="Z62" s="1201"/>
      <c r="AA62" s="1202"/>
      <c r="AB62" s="1202"/>
    </row>
    <row r="63" spans="1:28" s="1273" customFormat="1" ht="66" customHeight="1">
      <c r="A63" s="1191"/>
      <c r="B63" s="1191"/>
      <c r="C63" s="1191"/>
      <c r="D63" s="1202"/>
      <c r="E63" s="26" t="s">
        <v>2031</v>
      </c>
      <c r="F63" s="26" t="s">
        <v>2032</v>
      </c>
      <c r="G63" s="1181" t="s">
        <v>2033</v>
      </c>
      <c r="H63" s="1193"/>
      <c r="I63" s="1193" t="s">
        <v>239</v>
      </c>
      <c r="J63" s="1193" t="s">
        <v>239</v>
      </c>
      <c r="K63" s="1193"/>
      <c r="L63" s="26" t="s">
        <v>2034</v>
      </c>
      <c r="M63" s="1189">
        <v>4800</v>
      </c>
      <c r="N63" s="1276"/>
      <c r="O63" s="1201"/>
      <c r="P63" s="1201"/>
      <c r="Q63" s="1201"/>
      <c r="R63" s="1201"/>
      <c r="S63" s="1201"/>
      <c r="T63" s="1201">
        <v>2400</v>
      </c>
      <c r="U63" s="1201"/>
      <c r="V63" s="1201">
        <v>2400</v>
      </c>
      <c r="W63" s="1201"/>
      <c r="X63" s="1201"/>
      <c r="Y63" s="1201"/>
      <c r="Z63" s="1201"/>
      <c r="AA63" s="1202"/>
      <c r="AB63" s="1202"/>
    </row>
    <row r="64" spans="1:28" s="1273" customFormat="1" ht="66.75" customHeight="1">
      <c r="A64" s="1264"/>
      <c r="B64" s="1264"/>
      <c r="C64" s="1264"/>
      <c r="D64" s="1266"/>
      <c r="E64" s="1278" t="s">
        <v>2035</v>
      </c>
      <c r="F64" s="1265" t="s">
        <v>2036</v>
      </c>
      <c r="G64" s="1265" t="s">
        <v>1922</v>
      </c>
      <c r="H64" s="1267"/>
      <c r="I64" s="1279" t="s">
        <v>239</v>
      </c>
      <c r="J64" s="1266"/>
      <c r="K64" s="1279"/>
      <c r="L64" s="1278" t="s">
        <v>2037</v>
      </c>
      <c r="M64" s="1280">
        <f t="shared" si="9"/>
        <v>216000</v>
      </c>
      <c r="N64" s="1281"/>
      <c r="O64" s="1282"/>
      <c r="P64" s="1282"/>
      <c r="Q64" s="1282"/>
      <c r="R64" s="1282"/>
      <c r="S64" s="1282">
        <f>120*1800</f>
        <v>216000</v>
      </c>
      <c r="T64" s="1269"/>
      <c r="U64" s="1269"/>
      <c r="V64" s="1269"/>
      <c r="W64" s="1269"/>
      <c r="X64" s="1269"/>
      <c r="Y64" s="1269"/>
      <c r="Z64" s="1269"/>
      <c r="AA64" s="1266"/>
      <c r="AB64" s="1266"/>
    </row>
    <row r="65" spans="1:28" s="361" customFormat="1" ht="21" customHeight="1">
      <c r="A65" s="1331">
        <v>1</v>
      </c>
      <c r="B65" s="1331">
        <v>3</v>
      </c>
      <c r="C65" s="1331">
        <v>2</v>
      </c>
      <c r="D65" s="1303">
        <v>9</v>
      </c>
      <c r="E65" s="3746" t="s">
        <v>2038</v>
      </c>
      <c r="F65" s="3746"/>
      <c r="G65" s="3746"/>
      <c r="H65" s="3746"/>
      <c r="I65" s="3746"/>
      <c r="J65" s="3746"/>
      <c r="K65" s="3746"/>
      <c r="L65" s="429"/>
      <c r="M65" s="1332"/>
      <c r="N65" s="1333">
        <f>SUM(M66:M66)</f>
        <v>3500</v>
      </c>
      <c r="O65" s="1334">
        <f t="shared" ref="O65:Z65" si="12">SUM(O66:O66)</f>
        <v>0</v>
      </c>
      <c r="P65" s="1334">
        <f t="shared" si="12"/>
        <v>0</v>
      </c>
      <c r="Q65" s="1334">
        <f t="shared" si="12"/>
        <v>0</v>
      </c>
      <c r="R65" s="1334">
        <f t="shared" si="12"/>
        <v>0</v>
      </c>
      <c r="S65" s="1334">
        <f t="shared" si="12"/>
        <v>0</v>
      </c>
      <c r="T65" s="1334">
        <f t="shared" si="12"/>
        <v>3500</v>
      </c>
      <c r="U65" s="1334">
        <f t="shared" si="12"/>
        <v>0</v>
      </c>
      <c r="V65" s="1334">
        <f t="shared" si="12"/>
        <v>0</v>
      </c>
      <c r="W65" s="1334">
        <f t="shared" si="12"/>
        <v>0</v>
      </c>
      <c r="X65" s="1334">
        <f t="shared" si="12"/>
        <v>0</v>
      </c>
      <c r="Y65" s="1334">
        <f t="shared" si="12"/>
        <v>0</v>
      </c>
      <c r="Z65" s="1334">
        <f t="shared" si="12"/>
        <v>0</v>
      </c>
      <c r="AA65" s="1335" t="s">
        <v>2066</v>
      </c>
      <c r="AB65" s="1302" t="s">
        <v>893</v>
      </c>
    </row>
    <row r="66" spans="1:28" s="1344" customFormat="1" ht="123.75" customHeight="1">
      <c r="A66" s="1336">
        <v>1</v>
      </c>
      <c r="B66" s="1336">
        <v>3</v>
      </c>
      <c r="C66" s="1337">
        <v>2</v>
      </c>
      <c r="D66" s="1338"/>
      <c r="E66" s="1339" t="s">
        <v>2039</v>
      </c>
      <c r="F66" s="1339" t="s">
        <v>2040</v>
      </c>
      <c r="G66" s="1339" t="s">
        <v>2041</v>
      </c>
      <c r="H66" s="1340"/>
      <c r="I66" s="1340" t="s">
        <v>239</v>
      </c>
      <c r="J66" s="1340"/>
      <c r="K66" s="1340"/>
      <c r="L66" s="1341" t="s">
        <v>2042</v>
      </c>
      <c r="M66" s="1342">
        <v>3500</v>
      </c>
      <c r="N66" s="1343"/>
      <c r="O66" s="1342"/>
      <c r="P66" s="1342"/>
      <c r="Q66" s="1342"/>
      <c r="R66" s="1342"/>
      <c r="S66" s="1342"/>
      <c r="T66" s="1342">
        <v>3500</v>
      </c>
      <c r="U66" s="1342"/>
      <c r="V66" s="1342"/>
      <c r="W66" s="1342"/>
      <c r="X66" s="1342"/>
      <c r="Y66" s="1342"/>
      <c r="Z66" s="1342"/>
      <c r="AA66" s="250" t="s">
        <v>2043</v>
      </c>
      <c r="AB66" s="1338" t="s">
        <v>893</v>
      </c>
    </row>
    <row r="67" spans="1:28" s="361" customFormat="1" ht="21.45">
      <c r="A67" s="1331">
        <v>1</v>
      </c>
      <c r="B67" s="1331">
        <v>3</v>
      </c>
      <c r="C67" s="1331">
        <v>2</v>
      </c>
      <c r="D67" s="1303">
        <v>10</v>
      </c>
      <c r="E67" s="3746" t="s">
        <v>2044</v>
      </c>
      <c r="F67" s="3746"/>
      <c r="G67" s="3746"/>
      <c r="H67" s="3746"/>
      <c r="I67" s="3746"/>
      <c r="J67" s="3746"/>
      <c r="K67" s="3746"/>
      <c r="L67" s="429"/>
      <c r="M67" s="1332"/>
      <c r="N67" s="1333">
        <f>SUM(O67:Z67)</f>
        <v>25200</v>
      </c>
      <c r="O67" s="1334">
        <f>SUM(O68:O69)</f>
        <v>0</v>
      </c>
      <c r="P67" s="1334">
        <f t="shared" ref="P67:Z67" si="13">SUM(P68:P69)</f>
        <v>0</v>
      </c>
      <c r="Q67" s="1334">
        <f t="shared" si="13"/>
        <v>8400</v>
      </c>
      <c r="R67" s="1334">
        <f t="shared" si="13"/>
        <v>0</v>
      </c>
      <c r="S67" s="1334">
        <f t="shared" si="13"/>
        <v>8400</v>
      </c>
      <c r="T67" s="1334">
        <f t="shared" si="13"/>
        <v>0</v>
      </c>
      <c r="U67" s="1334">
        <f t="shared" si="13"/>
        <v>0</v>
      </c>
      <c r="V67" s="1334">
        <f t="shared" si="13"/>
        <v>8400</v>
      </c>
      <c r="W67" s="1334">
        <f t="shared" si="13"/>
        <v>0</v>
      </c>
      <c r="X67" s="1334">
        <f t="shared" si="13"/>
        <v>0</v>
      </c>
      <c r="Y67" s="1334">
        <f t="shared" si="13"/>
        <v>0</v>
      </c>
      <c r="Z67" s="1334">
        <f t="shared" si="13"/>
        <v>0</v>
      </c>
      <c r="AA67" s="1335" t="s">
        <v>2066</v>
      </c>
      <c r="AB67" s="1302" t="s">
        <v>893</v>
      </c>
    </row>
    <row r="68" spans="1:28" s="184" customFormat="1" ht="41.25" customHeight="1">
      <c r="A68" s="1171">
        <v>1</v>
      </c>
      <c r="B68" s="1171">
        <v>3</v>
      </c>
      <c r="C68" s="1172">
        <v>2</v>
      </c>
      <c r="D68" s="1179"/>
      <c r="E68" s="3747" t="s">
        <v>2045</v>
      </c>
      <c r="F68" s="3747" t="s">
        <v>2046</v>
      </c>
      <c r="G68" s="3747" t="s">
        <v>2047</v>
      </c>
      <c r="H68" s="1187" t="s">
        <v>239</v>
      </c>
      <c r="I68" s="1187" t="s">
        <v>239</v>
      </c>
      <c r="J68" s="1187" t="s">
        <v>239</v>
      </c>
      <c r="K68" s="1187" t="s">
        <v>239</v>
      </c>
      <c r="L68" s="1186" t="s">
        <v>2048</v>
      </c>
      <c r="M68" s="1189">
        <v>14700</v>
      </c>
      <c r="N68" s="1263"/>
      <c r="O68" s="1189"/>
      <c r="P68" s="1189"/>
      <c r="Q68" s="1189">
        <v>4900</v>
      </c>
      <c r="R68" s="1189"/>
      <c r="S68" s="1189">
        <v>4900</v>
      </c>
      <c r="T68" s="1189"/>
      <c r="U68" s="1189"/>
      <c r="V68" s="1189">
        <v>4900</v>
      </c>
      <c r="W68" s="1189"/>
      <c r="X68" s="1189"/>
      <c r="Y68" s="1189"/>
      <c r="Z68" s="1189"/>
      <c r="AA68" s="3749" t="s">
        <v>2011</v>
      </c>
      <c r="AB68" s="1179" t="s">
        <v>893</v>
      </c>
    </row>
    <row r="69" spans="1:28" s="184" customFormat="1" ht="114.75" customHeight="1">
      <c r="A69" s="1191"/>
      <c r="B69" s="1191"/>
      <c r="C69" s="1283"/>
      <c r="D69" s="1179"/>
      <c r="E69" s="3747"/>
      <c r="F69" s="3747"/>
      <c r="G69" s="3747"/>
      <c r="H69" s="1187" t="s">
        <v>239</v>
      </c>
      <c r="I69" s="1187" t="s">
        <v>239</v>
      </c>
      <c r="J69" s="1187" t="s">
        <v>239</v>
      </c>
      <c r="K69" s="1187" t="s">
        <v>239</v>
      </c>
      <c r="L69" s="1186" t="s">
        <v>2049</v>
      </c>
      <c r="M69" s="1189">
        <v>10500</v>
      </c>
      <c r="N69" s="1263"/>
      <c r="O69" s="1189"/>
      <c r="P69" s="1189"/>
      <c r="Q69" s="1189">
        <v>3500</v>
      </c>
      <c r="R69" s="1189"/>
      <c r="S69" s="1189">
        <v>3500</v>
      </c>
      <c r="T69" s="1189"/>
      <c r="U69" s="1189"/>
      <c r="V69" s="1189">
        <v>3500</v>
      </c>
      <c r="W69" s="1189"/>
      <c r="X69" s="1189"/>
      <c r="Y69" s="1189"/>
      <c r="Z69" s="1189"/>
      <c r="AA69" s="3749"/>
      <c r="AB69" s="1179" t="s">
        <v>893</v>
      </c>
    </row>
    <row r="70" spans="1:28" s="186" customFormat="1" ht="21" customHeight="1">
      <c r="A70" s="1345">
        <v>1</v>
      </c>
      <c r="B70" s="1345">
        <v>3</v>
      </c>
      <c r="C70" s="1345">
        <v>2</v>
      </c>
      <c r="D70" s="1345">
        <v>11</v>
      </c>
      <c r="E70" s="1345" t="s">
        <v>2050</v>
      </c>
      <c r="F70" s="1345"/>
      <c r="G70" s="1345"/>
      <c r="H70" s="1345"/>
      <c r="I70" s="1345"/>
      <c r="J70" s="1345"/>
      <c r="K70" s="1345"/>
      <c r="L70" s="1345"/>
      <c r="M70" s="1345"/>
      <c r="N70" s="1346">
        <f>SUM(M71:M77)</f>
        <v>1542400</v>
      </c>
      <c r="O70" s="1347">
        <f>SUM(O71:O77)</f>
        <v>0</v>
      </c>
      <c r="P70" s="1347">
        <f t="shared" ref="P70:Z70" si="14">SUM(P71:P77)</f>
        <v>0</v>
      </c>
      <c r="Q70" s="1347">
        <f t="shared" si="14"/>
        <v>0</v>
      </c>
      <c r="R70" s="1347">
        <f t="shared" si="14"/>
        <v>1493200</v>
      </c>
      <c r="S70" s="1347">
        <f t="shared" si="14"/>
        <v>0</v>
      </c>
      <c r="T70" s="1347">
        <f t="shared" si="14"/>
        <v>0</v>
      </c>
      <c r="U70" s="1347">
        <f t="shared" si="14"/>
        <v>0</v>
      </c>
      <c r="V70" s="1347">
        <f t="shared" si="14"/>
        <v>0</v>
      </c>
      <c r="W70" s="1347">
        <f t="shared" si="14"/>
        <v>0</v>
      </c>
      <c r="X70" s="1347">
        <f t="shared" si="14"/>
        <v>0</v>
      </c>
      <c r="Y70" s="1347">
        <f t="shared" si="14"/>
        <v>49200</v>
      </c>
      <c r="Z70" s="1347">
        <f t="shared" si="14"/>
        <v>0</v>
      </c>
      <c r="AA70" s="1345" t="s">
        <v>2066</v>
      </c>
      <c r="AB70" s="1345" t="s">
        <v>2051</v>
      </c>
    </row>
    <row r="71" spans="1:28" ht="55.5" customHeight="1">
      <c r="A71" s="1171">
        <v>1</v>
      </c>
      <c r="B71" s="1171">
        <v>3</v>
      </c>
      <c r="C71" s="1172">
        <v>2</v>
      </c>
      <c r="D71" s="3740"/>
      <c r="E71" s="3048" t="s">
        <v>2052</v>
      </c>
      <c r="F71" s="3743" t="s">
        <v>2053</v>
      </c>
      <c r="G71" s="3743" t="s">
        <v>2054</v>
      </c>
      <c r="H71" s="338"/>
      <c r="I71" s="1284" t="s">
        <v>239</v>
      </c>
      <c r="J71" s="1284" t="s">
        <v>239</v>
      </c>
      <c r="K71" s="338"/>
      <c r="L71" s="26" t="s">
        <v>2055</v>
      </c>
      <c r="M71" s="1285">
        <f>80*9050</f>
        <v>724000</v>
      </c>
      <c r="N71" s="1286"/>
      <c r="O71" s="1286"/>
      <c r="P71" s="1286"/>
      <c r="Q71" s="1286"/>
      <c r="R71" s="1287">
        <f>80*9050</f>
        <v>724000</v>
      </c>
      <c r="S71" s="348"/>
      <c r="T71" s="348"/>
      <c r="U71" s="348"/>
      <c r="V71" s="348"/>
      <c r="W71" s="348"/>
      <c r="X71" s="348"/>
      <c r="Y71" s="348"/>
      <c r="Z71" s="348"/>
      <c r="AA71" s="1288" t="s">
        <v>2056</v>
      </c>
      <c r="AB71" s="348"/>
    </row>
    <row r="72" spans="1:28" ht="53.25" customHeight="1">
      <c r="A72" s="1171"/>
      <c r="B72" s="1171"/>
      <c r="C72" s="1172"/>
      <c r="D72" s="3741"/>
      <c r="E72" s="3049"/>
      <c r="F72" s="3744"/>
      <c r="G72" s="3744"/>
      <c r="H72" s="338"/>
      <c r="I72" s="338"/>
      <c r="J72" s="338"/>
      <c r="K72" s="338"/>
      <c r="L72" s="26" t="s">
        <v>2057</v>
      </c>
      <c r="M72" s="1285">
        <f>25*9050</f>
        <v>226250</v>
      </c>
      <c r="N72" s="1286"/>
      <c r="O72" s="1286"/>
      <c r="P72" s="1286"/>
      <c r="Q72" s="1286"/>
      <c r="R72" s="1287">
        <f>25*9050</f>
        <v>226250</v>
      </c>
      <c r="S72" s="348"/>
      <c r="T72" s="348"/>
      <c r="U72" s="348"/>
      <c r="V72" s="348"/>
      <c r="W72" s="348"/>
      <c r="X72" s="348"/>
      <c r="Y72" s="348"/>
      <c r="Z72" s="348"/>
      <c r="AA72" s="348"/>
      <c r="AB72" s="348"/>
    </row>
    <row r="73" spans="1:28" ht="70.5" customHeight="1">
      <c r="A73" s="1171"/>
      <c r="B73" s="1171"/>
      <c r="C73" s="1172"/>
      <c r="D73" s="3742"/>
      <c r="E73" s="3748"/>
      <c r="F73" s="3745"/>
      <c r="G73" s="3745"/>
      <c r="H73" s="338"/>
      <c r="I73" s="338"/>
      <c r="J73" s="338"/>
      <c r="K73" s="338"/>
      <c r="L73" s="26" t="s">
        <v>2058</v>
      </c>
      <c r="M73" s="1285">
        <v>542950</v>
      </c>
      <c r="N73" s="1286"/>
      <c r="O73" s="1286"/>
      <c r="P73" s="1286"/>
      <c r="Q73" s="1286"/>
      <c r="R73" s="1287">
        <v>542950</v>
      </c>
      <c r="S73" s="348"/>
      <c r="T73" s="348"/>
      <c r="U73" s="348"/>
      <c r="V73" s="348"/>
      <c r="W73" s="348"/>
      <c r="X73" s="348"/>
      <c r="Y73" s="348"/>
      <c r="Z73" s="348"/>
      <c r="AA73" s="348"/>
      <c r="AB73" s="348"/>
    </row>
    <row r="74" spans="1:28" ht="50.25" customHeight="1">
      <c r="A74" s="3740"/>
      <c r="B74" s="3740"/>
      <c r="C74" s="3740"/>
      <c r="D74" s="3740"/>
      <c r="E74" s="3743" t="s">
        <v>2059</v>
      </c>
      <c r="F74" s="3734" t="s">
        <v>2060</v>
      </c>
      <c r="G74" s="3737" t="s">
        <v>2061</v>
      </c>
      <c r="H74" s="3740"/>
      <c r="I74" s="3740"/>
      <c r="J74" s="3740"/>
      <c r="K74" s="3732" t="s">
        <v>239</v>
      </c>
      <c r="L74" s="26" t="s">
        <v>2062</v>
      </c>
      <c r="M74" s="1289">
        <f>170*120</f>
        <v>20400</v>
      </c>
      <c r="N74" s="348"/>
      <c r="O74" s="348"/>
      <c r="P74" s="348"/>
      <c r="Q74" s="348"/>
      <c r="R74" s="348"/>
      <c r="S74" s="348"/>
      <c r="T74" s="348"/>
      <c r="U74" s="348"/>
      <c r="V74" s="348"/>
      <c r="W74" s="348"/>
      <c r="X74" s="348"/>
      <c r="Y74" s="1289">
        <f>170*120</f>
        <v>20400</v>
      </c>
      <c r="Z74" s="348"/>
      <c r="AA74" s="348"/>
      <c r="AB74" s="348"/>
    </row>
    <row r="75" spans="1:28" ht="48.75" customHeight="1">
      <c r="A75" s="3741"/>
      <c r="B75" s="3741"/>
      <c r="C75" s="3741"/>
      <c r="D75" s="3741"/>
      <c r="E75" s="3744"/>
      <c r="F75" s="3735"/>
      <c r="G75" s="3738"/>
      <c r="H75" s="3741"/>
      <c r="I75" s="3741"/>
      <c r="J75" s="3741"/>
      <c r="K75" s="3733"/>
      <c r="L75" s="26" t="s">
        <v>2063</v>
      </c>
      <c r="M75" s="1289">
        <f>25*2*120</f>
        <v>6000</v>
      </c>
      <c r="N75" s="348"/>
      <c r="O75" s="348"/>
      <c r="P75" s="348"/>
      <c r="Q75" s="348"/>
      <c r="R75" s="348"/>
      <c r="S75" s="348"/>
      <c r="T75" s="348"/>
      <c r="U75" s="348"/>
      <c r="V75" s="348"/>
      <c r="W75" s="348"/>
      <c r="X75" s="348"/>
      <c r="Y75" s="1289">
        <f>25*2*120</f>
        <v>6000</v>
      </c>
      <c r="Z75" s="348"/>
      <c r="AA75" s="348"/>
      <c r="AB75" s="348"/>
    </row>
    <row r="76" spans="1:28" ht="63.75" customHeight="1">
      <c r="A76" s="3741"/>
      <c r="B76" s="3741"/>
      <c r="C76" s="3741"/>
      <c r="D76" s="3741"/>
      <c r="E76" s="3744"/>
      <c r="F76" s="3735"/>
      <c r="G76" s="3738"/>
      <c r="H76" s="3741"/>
      <c r="I76" s="3741"/>
      <c r="J76" s="3741"/>
      <c r="K76" s="3733"/>
      <c r="L76" s="26" t="s">
        <v>2064</v>
      </c>
      <c r="M76" s="1289">
        <f>6*600*5</f>
        <v>18000</v>
      </c>
      <c r="N76" s="348"/>
      <c r="O76" s="348"/>
      <c r="P76" s="348"/>
      <c r="Q76" s="348"/>
      <c r="R76" s="348"/>
      <c r="S76" s="348"/>
      <c r="T76" s="348"/>
      <c r="U76" s="348"/>
      <c r="V76" s="348"/>
      <c r="W76" s="348"/>
      <c r="X76" s="348"/>
      <c r="Y76" s="1289">
        <f>6*600*5</f>
        <v>18000</v>
      </c>
      <c r="Z76" s="348"/>
      <c r="AA76" s="348"/>
      <c r="AB76" s="348"/>
    </row>
    <row r="77" spans="1:28" ht="42.9">
      <c r="A77" s="3742"/>
      <c r="B77" s="3742"/>
      <c r="C77" s="3742"/>
      <c r="D77" s="3742"/>
      <c r="E77" s="3745"/>
      <c r="F77" s="3736"/>
      <c r="G77" s="3739"/>
      <c r="H77" s="3742"/>
      <c r="I77" s="3742"/>
      <c r="J77" s="3742"/>
      <c r="K77" s="3037"/>
      <c r="L77" s="26" t="s">
        <v>2065</v>
      </c>
      <c r="M77" s="1289">
        <f>40*120</f>
        <v>4800</v>
      </c>
      <c r="N77" s="348"/>
      <c r="O77" s="348"/>
      <c r="P77" s="348"/>
      <c r="Q77" s="348"/>
      <c r="R77" s="348"/>
      <c r="S77" s="348"/>
      <c r="T77" s="348"/>
      <c r="U77" s="348"/>
      <c r="V77" s="348"/>
      <c r="W77" s="348"/>
      <c r="X77" s="348"/>
      <c r="Y77" s="1289">
        <f>40*120</f>
        <v>4800</v>
      </c>
      <c r="Z77" s="348"/>
      <c r="AA77" s="348"/>
      <c r="AB77" s="348"/>
    </row>
  </sheetData>
  <autoFilter ref="A11:AH77" xr:uid="{9C7D97B8-E887-4056-BB1B-0031C28D7C53}">
    <filterColumn colId="4" showButton="0"/>
    <filterColumn colId="5" showButton="0"/>
    <filterColumn colId="6" showButton="0"/>
    <filterColumn colId="7" showButton="0"/>
    <filterColumn colId="8" showButton="0"/>
    <filterColumn colId="9" showButton="0"/>
    <filterColumn colId="10" showButton="0"/>
  </autoFilter>
  <mergeCells count="78">
    <mergeCell ref="E11:L11"/>
    <mergeCell ref="D1:AB1"/>
    <mergeCell ref="D8:D10"/>
    <mergeCell ref="E8:E10"/>
    <mergeCell ref="F8:F10"/>
    <mergeCell ref="G8:G10"/>
    <mergeCell ref="H8:K9"/>
    <mergeCell ref="L8:M9"/>
    <mergeCell ref="N8:N10"/>
    <mergeCell ref="O8:Z8"/>
    <mergeCell ref="AA8:AA10"/>
    <mergeCell ref="AB8:AB10"/>
    <mergeCell ref="O9:Q9"/>
    <mergeCell ref="R9:T9"/>
    <mergeCell ref="U9:W9"/>
    <mergeCell ref="X9:Z9"/>
    <mergeCell ref="E12:E14"/>
    <mergeCell ref="F12:F14"/>
    <mergeCell ref="G12:G14"/>
    <mergeCell ref="E22:L22"/>
    <mergeCell ref="E23:E24"/>
    <mergeCell ref="F23:F24"/>
    <mergeCell ref="G23:G24"/>
    <mergeCell ref="E25:L25"/>
    <mergeCell ref="E29:E31"/>
    <mergeCell ref="F29:F31"/>
    <mergeCell ref="G29:G31"/>
    <mergeCell ref="E33:E34"/>
    <mergeCell ref="F33:F34"/>
    <mergeCell ref="G33:G34"/>
    <mergeCell ref="E52:L52"/>
    <mergeCell ref="E37:L37"/>
    <mergeCell ref="E38:E40"/>
    <mergeCell ref="F38:F40"/>
    <mergeCell ref="E42:L42"/>
    <mergeCell ref="E43:E44"/>
    <mergeCell ref="F43:F44"/>
    <mergeCell ref="G43:G44"/>
    <mergeCell ref="E46:L46"/>
    <mergeCell ref="E47:E50"/>
    <mergeCell ref="F47:F50"/>
    <mergeCell ref="G47:G50"/>
    <mergeCell ref="L47:L51"/>
    <mergeCell ref="AA68:AA69"/>
    <mergeCell ref="K55:K56"/>
    <mergeCell ref="E57:K57"/>
    <mergeCell ref="E58:E60"/>
    <mergeCell ref="F58:F60"/>
    <mergeCell ref="G58:G60"/>
    <mergeCell ref="E61:E62"/>
    <mergeCell ref="F61:F62"/>
    <mergeCell ref="G61:G62"/>
    <mergeCell ref="E55:E56"/>
    <mergeCell ref="F55:F56"/>
    <mergeCell ref="G55:G56"/>
    <mergeCell ref="H55:H56"/>
    <mergeCell ref="I55:I56"/>
    <mergeCell ref="J55:J56"/>
    <mergeCell ref="E65:K65"/>
    <mergeCell ref="E67:K67"/>
    <mergeCell ref="E68:E69"/>
    <mergeCell ref="F68:F69"/>
    <mergeCell ref="G68:G69"/>
    <mergeCell ref="D71:D73"/>
    <mergeCell ref="E71:E73"/>
    <mergeCell ref="F71:F73"/>
    <mergeCell ref="G71:G73"/>
    <mergeCell ref="A74:A77"/>
    <mergeCell ref="B74:B77"/>
    <mergeCell ref="C74:C77"/>
    <mergeCell ref="D74:D77"/>
    <mergeCell ref="E74:E77"/>
    <mergeCell ref="K74:K77"/>
    <mergeCell ref="F74:F77"/>
    <mergeCell ref="G74:G77"/>
    <mergeCell ref="H74:H77"/>
    <mergeCell ref="I74:I77"/>
    <mergeCell ref="J74:J7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B7355-B61F-438E-93FE-A8A1A55A343D}">
  <dimension ref="A1:IS209"/>
  <sheetViews>
    <sheetView topLeftCell="J1" workbookViewId="0">
      <selection activeCell="W2" sqref="W2"/>
    </sheetView>
  </sheetViews>
  <sheetFormatPr defaultRowHeight="20.6"/>
  <cols>
    <col min="1" max="1" width="5.28515625" style="70" customWidth="1"/>
    <col min="2" max="2" width="58.5" style="70" customWidth="1"/>
    <col min="3" max="3" width="10.7109375" style="70" customWidth="1"/>
    <col min="4" max="4" width="11.0703125" style="70" customWidth="1"/>
    <col min="5" max="5" width="9" style="70" customWidth="1"/>
    <col min="6" max="7" width="7.35546875" style="70" customWidth="1"/>
    <col min="8" max="19" width="9.140625" style="70" customWidth="1"/>
    <col min="20" max="20" width="8.640625" style="70" customWidth="1"/>
    <col min="21" max="21" width="9.140625" style="70"/>
    <col min="22" max="24" width="9.140625" style="2921"/>
    <col min="25" max="16384" width="9.140625" style="70"/>
  </cols>
  <sheetData>
    <row r="1" spans="1:24">
      <c r="A1" s="70" t="s">
        <v>3003</v>
      </c>
    </row>
    <row r="3" spans="1:24" ht="25.5" customHeight="1">
      <c r="A3" s="3018" t="s">
        <v>6</v>
      </c>
      <c r="B3" s="3021" t="s">
        <v>7</v>
      </c>
      <c r="C3" s="3024" t="s">
        <v>12</v>
      </c>
      <c r="D3" s="3027" t="s">
        <v>13</v>
      </c>
      <c r="E3" s="3027"/>
      <c r="F3" s="3027"/>
      <c r="G3" s="3027"/>
      <c r="H3" s="3027"/>
      <c r="I3" s="3027"/>
      <c r="J3" s="3027"/>
      <c r="K3" s="3027"/>
      <c r="L3" s="3027"/>
      <c r="M3" s="3027"/>
      <c r="N3" s="3027"/>
      <c r="O3" s="3027"/>
      <c r="P3" s="3027"/>
      <c r="Q3" s="3027"/>
      <c r="R3" s="3027"/>
      <c r="S3" s="3001"/>
      <c r="T3" s="3021" t="s">
        <v>14</v>
      </c>
      <c r="U3" s="3028" t="s">
        <v>15</v>
      </c>
      <c r="V3" s="2987" t="s">
        <v>34</v>
      </c>
      <c r="W3" s="2988"/>
      <c r="X3" s="2989"/>
    </row>
    <row r="4" spans="1:24">
      <c r="A4" s="3019"/>
      <c r="B4" s="3022"/>
      <c r="C4" s="3025"/>
      <c r="D4" s="3027" t="s">
        <v>16</v>
      </c>
      <c r="E4" s="3027"/>
      <c r="F4" s="3027"/>
      <c r="G4" s="2929" t="s">
        <v>16</v>
      </c>
      <c r="H4" s="3027" t="s">
        <v>17</v>
      </c>
      <c r="I4" s="3027"/>
      <c r="J4" s="3027"/>
      <c r="K4" s="2929" t="s">
        <v>17</v>
      </c>
      <c r="L4" s="3027" t="s">
        <v>18</v>
      </c>
      <c r="M4" s="3027"/>
      <c r="N4" s="3027"/>
      <c r="O4" s="2929" t="s">
        <v>18</v>
      </c>
      <c r="P4" s="3027" t="s">
        <v>19</v>
      </c>
      <c r="Q4" s="3027"/>
      <c r="R4" s="3027"/>
      <c r="S4" s="2928" t="s">
        <v>19</v>
      </c>
      <c r="T4" s="3022"/>
      <c r="U4" s="3028"/>
      <c r="V4" s="2990"/>
      <c r="W4" s="2991"/>
      <c r="X4" s="2992"/>
    </row>
    <row r="5" spans="1:24">
      <c r="A5" s="3020"/>
      <c r="B5" s="3023"/>
      <c r="C5" s="3026"/>
      <c r="D5" s="2890" t="s">
        <v>22</v>
      </c>
      <c r="E5" s="2890" t="s">
        <v>23</v>
      </c>
      <c r="F5" s="2890" t="s">
        <v>24</v>
      </c>
      <c r="G5" s="2890"/>
      <c r="H5" s="2890" t="s">
        <v>25</v>
      </c>
      <c r="I5" s="2890" t="s">
        <v>26</v>
      </c>
      <c r="J5" s="2890" t="s">
        <v>27</v>
      </c>
      <c r="K5" s="2890"/>
      <c r="L5" s="2890" t="s">
        <v>28</v>
      </c>
      <c r="M5" s="2890" t="s">
        <v>29</v>
      </c>
      <c r="N5" s="2890" t="s">
        <v>30</v>
      </c>
      <c r="O5" s="2890"/>
      <c r="P5" s="2890" t="s">
        <v>31</v>
      </c>
      <c r="Q5" s="2890" t="s">
        <v>32</v>
      </c>
      <c r="R5" s="2890" t="s">
        <v>33</v>
      </c>
      <c r="S5" s="2890"/>
      <c r="T5" s="3023"/>
      <c r="U5" s="3028"/>
      <c r="V5" s="2993" t="s">
        <v>36</v>
      </c>
      <c r="W5" s="2993" t="s">
        <v>35</v>
      </c>
      <c r="X5" s="2993" t="s">
        <v>37</v>
      </c>
    </row>
    <row r="6" spans="1:24" ht="20.6" customHeight="1">
      <c r="A6" s="2891">
        <v>1</v>
      </c>
      <c r="B6" s="2892" t="s">
        <v>2546</v>
      </c>
      <c r="C6" s="2931">
        <v>9600</v>
      </c>
      <c r="D6" s="2893">
        <v>0</v>
      </c>
      <c r="E6" s="2893">
        <v>0</v>
      </c>
      <c r="F6" s="2893">
        <v>0</v>
      </c>
      <c r="G6" s="3000">
        <f>SUM(D6:F6)</f>
        <v>0</v>
      </c>
      <c r="H6" s="2893">
        <v>4800</v>
      </c>
      <c r="I6" s="2893">
        <v>0</v>
      </c>
      <c r="J6" s="2893">
        <v>0</v>
      </c>
      <c r="K6" s="3000">
        <f>SUM(H6:J6)</f>
        <v>4800</v>
      </c>
      <c r="L6" s="2893">
        <v>0</v>
      </c>
      <c r="M6" s="2893">
        <v>0</v>
      </c>
      <c r="N6" s="2893">
        <v>4800</v>
      </c>
      <c r="O6" s="3000">
        <f>SUM(L6:N6)</f>
        <v>4800</v>
      </c>
      <c r="P6" s="2893">
        <v>0</v>
      </c>
      <c r="Q6" s="2893">
        <v>0</v>
      </c>
      <c r="R6" s="2893">
        <v>0</v>
      </c>
      <c r="S6" s="3000">
        <f>SUM(P6:R6)</f>
        <v>0</v>
      </c>
      <c r="T6" s="2894" t="s">
        <v>2619</v>
      </c>
      <c r="U6" s="2895" t="s">
        <v>280</v>
      </c>
      <c r="V6" s="2993">
        <v>2</v>
      </c>
      <c r="W6" s="2993">
        <v>6</v>
      </c>
      <c r="X6" s="2993">
        <v>15</v>
      </c>
    </row>
    <row r="7" spans="1:24" ht="21.45" customHeight="1">
      <c r="A7" s="2896">
        <v>2</v>
      </c>
      <c r="B7" s="2897" t="s">
        <v>2554</v>
      </c>
      <c r="C7" s="2898">
        <v>1900</v>
      </c>
      <c r="D7" s="2898">
        <v>0</v>
      </c>
      <c r="E7" s="2898">
        <v>0</v>
      </c>
      <c r="F7" s="2898">
        <v>950</v>
      </c>
      <c r="G7" s="3000">
        <f t="shared" ref="G7:G70" si="0">SUM(D7:F7)</f>
        <v>950</v>
      </c>
      <c r="H7" s="2898">
        <v>0</v>
      </c>
      <c r="I7" s="2898">
        <v>0</v>
      </c>
      <c r="J7" s="2898">
        <v>0</v>
      </c>
      <c r="K7" s="3000">
        <f t="shared" ref="K7:K70" si="1">SUM(H7:J7)</f>
        <v>0</v>
      </c>
      <c r="L7" s="2898">
        <v>0</v>
      </c>
      <c r="M7" s="2898">
        <v>950</v>
      </c>
      <c r="N7" s="2898">
        <v>0</v>
      </c>
      <c r="O7" s="3000">
        <f t="shared" ref="O7:O70" si="2">SUM(L7:N7)</f>
        <v>950</v>
      </c>
      <c r="P7" s="2898">
        <v>0</v>
      </c>
      <c r="Q7" s="2898">
        <v>0</v>
      </c>
      <c r="R7" s="2898">
        <v>0</v>
      </c>
      <c r="S7" s="3000">
        <f t="shared" ref="S7:S70" si="3">SUM(P7:R7)</f>
        <v>0</v>
      </c>
      <c r="T7" s="2894" t="s">
        <v>2619</v>
      </c>
      <c r="U7" s="2895" t="s">
        <v>280</v>
      </c>
      <c r="V7" s="2993">
        <v>2</v>
      </c>
      <c r="W7" s="2993">
        <v>6</v>
      </c>
      <c r="X7" s="2993">
        <v>15</v>
      </c>
    </row>
    <row r="8" spans="1:24" ht="27.9" customHeight="1">
      <c r="A8" s="2891">
        <v>3</v>
      </c>
      <c r="B8" s="2899" t="s">
        <v>2560</v>
      </c>
      <c r="C8" s="2900">
        <v>1800</v>
      </c>
      <c r="D8" s="2898">
        <v>0</v>
      </c>
      <c r="E8" s="2898">
        <v>0</v>
      </c>
      <c r="F8" s="2898">
        <v>0</v>
      </c>
      <c r="G8" s="3000">
        <f t="shared" si="0"/>
        <v>0</v>
      </c>
      <c r="H8" s="2898">
        <v>0</v>
      </c>
      <c r="I8" s="2898">
        <v>0</v>
      </c>
      <c r="J8" s="2898">
        <v>0</v>
      </c>
      <c r="K8" s="3000">
        <f t="shared" si="1"/>
        <v>0</v>
      </c>
      <c r="L8" s="2898">
        <v>0</v>
      </c>
      <c r="M8" s="2898">
        <v>1800</v>
      </c>
      <c r="N8" s="2898">
        <v>0</v>
      </c>
      <c r="O8" s="3000">
        <f t="shared" si="2"/>
        <v>1800</v>
      </c>
      <c r="P8" s="2898">
        <v>0</v>
      </c>
      <c r="Q8" s="2898">
        <v>0</v>
      </c>
      <c r="R8" s="2898">
        <v>0</v>
      </c>
      <c r="S8" s="3000">
        <f t="shared" si="3"/>
        <v>0</v>
      </c>
      <c r="T8" s="2894" t="s">
        <v>2619</v>
      </c>
      <c r="U8" s="2895" t="s">
        <v>280</v>
      </c>
      <c r="V8" s="2993">
        <v>2</v>
      </c>
      <c r="W8" s="2993">
        <v>6</v>
      </c>
      <c r="X8" s="2993">
        <v>15</v>
      </c>
    </row>
    <row r="9" spans="1:24" ht="26.6" customHeight="1">
      <c r="A9" s="2896">
        <v>4</v>
      </c>
      <c r="B9" s="2901" t="s">
        <v>2566</v>
      </c>
      <c r="C9" s="2932">
        <v>10680</v>
      </c>
      <c r="D9" s="2933">
        <v>0</v>
      </c>
      <c r="E9" s="2933">
        <v>10680</v>
      </c>
      <c r="F9" s="2933">
        <v>0</v>
      </c>
      <c r="G9" s="3000">
        <f t="shared" si="0"/>
        <v>10680</v>
      </c>
      <c r="H9" s="2933">
        <v>0</v>
      </c>
      <c r="I9" s="2933">
        <v>0</v>
      </c>
      <c r="J9" s="2933">
        <v>0</v>
      </c>
      <c r="K9" s="3000">
        <f t="shared" si="1"/>
        <v>0</v>
      </c>
      <c r="L9" s="2933">
        <v>0</v>
      </c>
      <c r="M9" s="2933">
        <v>0</v>
      </c>
      <c r="N9" s="2933">
        <v>0</v>
      </c>
      <c r="O9" s="3000">
        <f t="shared" si="2"/>
        <v>0</v>
      </c>
      <c r="P9" s="2933">
        <v>0</v>
      </c>
      <c r="Q9" s="2933">
        <v>0</v>
      </c>
      <c r="R9" s="2933">
        <v>0</v>
      </c>
      <c r="S9" s="3000">
        <f t="shared" si="3"/>
        <v>0</v>
      </c>
      <c r="T9" s="2894" t="s">
        <v>2619</v>
      </c>
      <c r="U9" s="2895" t="s">
        <v>280</v>
      </c>
      <c r="V9" s="2896">
        <v>2</v>
      </c>
      <c r="W9" s="2896">
        <v>6</v>
      </c>
      <c r="X9" s="2896">
        <v>15</v>
      </c>
    </row>
    <row r="10" spans="1:24" ht="29.6" customHeight="1">
      <c r="A10" s="2891">
        <v>5</v>
      </c>
      <c r="B10" s="2897" t="s">
        <v>2573</v>
      </c>
      <c r="C10" s="2934">
        <v>11880</v>
      </c>
      <c r="D10" s="2902">
        <v>0</v>
      </c>
      <c r="E10" s="2902">
        <v>0</v>
      </c>
      <c r="F10" s="2902">
        <v>11880</v>
      </c>
      <c r="G10" s="3000">
        <f t="shared" si="0"/>
        <v>11880</v>
      </c>
      <c r="H10" s="2902">
        <v>0</v>
      </c>
      <c r="I10" s="2902">
        <v>0</v>
      </c>
      <c r="J10" s="2902">
        <v>0</v>
      </c>
      <c r="K10" s="3000">
        <f t="shared" si="1"/>
        <v>0</v>
      </c>
      <c r="L10" s="2902">
        <v>0</v>
      </c>
      <c r="M10" s="2902">
        <v>0</v>
      </c>
      <c r="N10" s="2902">
        <v>0</v>
      </c>
      <c r="O10" s="3000">
        <f t="shared" si="2"/>
        <v>0</v>
      </c>
      <c r="P10" s="2902">
        <v>0</v>
      </c>
      <c r="Q10" s="2902">
        <v>0</v>
      </c>
      <c r="R10" s="2902">
        <v>0</v>
      </c>
      <c r="S10" s="3000">
        <f t="shared" si="3"/>
        <v>0</v>
      </c>
      <c r="T10" s="2894" t="s">
        <v>2619</v>
      </c>
      <c r="U10" s="2895" t="s">
        <v>280</v>
      </c>
      <c r="V10" s="2896">
        <v>2</v>
      </c>
      <c r="W10" s="2896">
        <v>6</v>
      </c>
      <c r="X10" s="2896">
        <v>15</v>
      </c>
    </row>
    <row r="11" spans="1:24" ht="29.15" customHeight="1">
      <c r="A11" s="2896">
        <v>6</v>
      </c>
      <c r="B11" s="2903" t="s">
        <v>2583</v>
      </c>
      <c r="C11" s="2935">
        <v>30200</v>
      </c>
      <c r="D11" s="2904">
        <v>0</v>
      </c>
      <c r="E11" s="2904">
        <v>0</v>
      </c>
      <c r="F11" s="2904">
        <v>0</v>
      </c>
      <c r="G11" s="3000">
        <f t="shared" si="0"/>
        <v>0</v>
      </c>
      <c r="H11" s="2904">
        <v>0</v>
      </c>
      <c r="I11" s="2904">
        <v>0</v>
      </c>
      <c r="J11" s="2904">
        <v>0</v>
      </c>
      <c r="K11" s="3000">
        <f t="shared" si="1"/>
        <v>0</v>
      </c>
      <c r="L11" s="2904">
        <v>0</v>
      </c>
      <c r="M11" s="2904">
        <v>0</v>
      </c>
      <c r="N11" s="2904">
        <v>30200</v>
      </c>
      <c r="O11" s="3000">
        <f t="shared" si="2"/>
        <v>30200</v>
      </c>
      <c r="P11" s="2904">
        <v>0</v>
      </c>
      <c r="Q11" s="2904">
        <v>0</v>
      </c>
      <c r="R11" s="2904">
        <v>0</v>
      </c>
      <c r="S11" s="3000">
        <f t="shared" si="3"/>
        <v>0</v>
      </c>
      <c r="T11" s="2894" t="s">
        <v>2619</v>
      </c>
      <c r="U11" s="2895" t="s">
        <v>2588</v>
      </c>
      <c r="V11" s="2896">
        <v>2</v>
      </c>
      <c r="W11" s="2896">
        <v>6</v>
      </c>
      <c r="X11" s="2896">
        <v>15</v>
      </c>
    </row>
    <row r="12" spans="1:24" ht="42.75" customHeight="1">
      <c r="A12" s="2891">
        <v>7</v>
      </c>
      <c r="B12" s="2905" t="s">
        <v>2591</v>
      </c>
      <c r="C12" s="2936">
        <v>10600</v>
      </c>
      <c r="D12" s="2906">
        <v>0</v>
      </c>
      <c r="E12" s="2906">
        <v>10600</v>
      </c>
      <c r="F12" s="2906">
        <v>0</v>
      </c>
      <c r="G12" s="3000">
        <f t="shared" si="0"/>
        <v>10600</v>
      </c>
      <c r="H12" s="2906">
        <v>0</v>
      </c>
      <c r="I12" s="2906">
        <v>0</v>
      </c>
      <c r="J12" s="2906">
        <v>0</v>
      </c>
      <c r="K12" s="3000">
        <f t="shared" si="1"/>
        <v>0</v>
      </c>
      <c r="L12" s="2906">
        <v>0</v>
      </c>
      <c r="M12" s="2906">
        <v>0</v>
      </c>
      <c r="N12" s="2906">
        <v>0</v>
      </c>
      <c r="O12" s="3000">
        <f t="shared" si="2"/>
        <v>0</v>
      </c>
      <c r="P12" s="2906">
        <v>0</v>
      </c>
      <c r="Q12" s="2906">
        <v>0</v>
      </c>
      <c r="R12" s="2906">
        <v>0</v>
      </c>
      <c r="S12" s="3000">
        <f t="shared" si="3"/>
        <v>0</v>
      </c>
      <c r="T12" s="2894" t="s">
        <v>2619</v>
      </c>
      <c r="U12" s="2895" t="s">
        <v>280</v>
      </c>
      <c r="V12" s="2993">
        <v>2</v>
      </c>
      <c r="W12" s="2993">
        <v>6</v>
      </c>
      <c r="X12" s="2993">
        <v>15</v>
      </c>
    </row>
    <row r="13" spans="1:24" ht="22.3" customHeight="1">
      <c r="A13" s="2896">
        <v>8</v>
      </c>
      <c r="B13" s="2937" t="s">
        <v>2597</v>
      </c>
      <c r="C13" s="2907">
        <v>43920</v>
      </c>
      <c r="D13" s="2907">
        <v>43920</v>
      </c>
      <c r="E13" s="2907">
        <v>0</v>
      </c>
      <c r="F13" s="2907">
        <v>0</v>
      </c>
      <c r="G13" s="3000">
        <f t="shared" si="0"/>
        <v>43920</v>
      </c>
      <c r="H13" s="2907">
        <v>0</v>
      </c>
      <c r="I13" s="2907">
        <v>0</v>
      </c>
      <c r="J13" s="2907">
        <v>0</v>
      </c>
      <c r="K13" s="3000">
        <f t="shared" si="1"/>
        <v>0</v>
      </c>
      <c r="L13" s="2907">
        <v>0</v>
      </c>
      <c r="M13" s="2907">
        <v>0</v>
      </c>
      <c r="N13" s="2907">
        <v>0</v>
      </c>
      <c r="O13" s="3000">
        <f t="shared" si="2"/>
        <v>0</v>
      </c>
      <c r="P13" s="2907">
        <v>0</v>
      </c>
      <c r="Q13" s="2907">
        <v>0</v>
      </c>
      <c r="R13" s="2907">
        <v>0</v>
      </c>
      <c r="S13" s="3000">
        <f t="shared" si="3"/>
        <v>0</v>
      </c>
      <c r="T13" s="2905" t="s">
        <v>2619</v>
      </c>
      <c r="U13" s="2905" t="s">
        <v>2588</v>
      </c>
      <c r="V13" s="2993">
        <v>2</v>
      </c>
      <c r="W13" s="2993">
        <v>6</v>
      </c>
      <c r="X13" s="2993">
        <v>15</v>
      </c>
    </row>
    <row r="14" spans="1:24" ht="33.450000000000003" customHeight="1">
      <c r="A14" s="2891">
        <v>9</v>
      </c>
      <c r="B14" s="2901" t="s">
        <v>2602</v>
      </c>
      <c r="C14" s="2936">
        <v>51400</v>
      </c>
      <c r="D14" s="2908">
        <v>0</v>
      </c>
      <c r="E14" s="2908">
        <v>0</v>
      </c>
      <c r="F14" s="2908">
        <v>0</v>
      </c>
      <c r="G14" s="3000">
        <f t="shared" si="0"/>
        <v>0</v>
      </c>
      <c r="H14" s="2908">
        <v>0</v>
      </c>
      <c r="I14" s="2908">
        <v>0</v>
      </c>
      <c r="J14" s="2908">
        <v>0</v>
      </c>
      <c r="K14" s="3000">
        <f t="shared" si="1"/>
        <v>0</v>
      </c>
      <c r="L14" s="2908">
        <v>0</v>
      </c>
      <c r="M14" s="2908">
        <v>0</v>
      </c>
      <c r="N14" s="2908">
        <v>0</v>
      </c>
      <c r="O14" s="3000">
        <f t="shared" si="2"/>
        <v>0</v>
      </c>
      <c r="P14" s="2908">
        <v>0</v>
      </c>
      <c r="Q14" s="2908">
        <v>51400</v>
      </c>
      <c r="R14" s="2908">
        <v>0</v>
      </c>
      <c r="S14" s="3000">
        <f t="shared" si="3"/>
        <v>51400</v>
      </c>
      <c r="T14" s="2896" t="s">
        <v>2619</v>
      </c>
      <c r="U14" s="2896" t="s">
        <v>2588</v>
      </c>
      <c r="V14" s="2993">
        <v>2</v>
      </c>
      <c r="W14" s="2993">
        <v>6</v>
      </c>
      <c r="X14" s="2993">
        <v>15</v>
      </c>
    </row>
    <row r="15" spans="1:24" ht="29.25" customHeight="1">
      <c r="A15" s="2896">
        <v>10</v>
      </c>
      <c r="B15" s="2901" t="s">
        <v>2609</v>
      </c>
      <c r="C15" s="2938">
        <v>16560</v>
      </c>
      <c r="D15" s="2909">
        <v>0</v>
      </c>
      <c r="E15" s="2909">
        <v>0</v>
      </c>
      <c r="F15" s="2909">
        <v>0</v>
      </c>
      <c r="G15" s="3000">
        <f t="shared" si="0"/>
        <v>0</v>
      </c>
      <c r="H15" s="2909">
        <v>0</v>
      </c>
      <c r="I15" s="2909">
        <v>16560</v>
      </c>
      <c r="J15" s="2909">
        <v>0</v>
      </c>
      <c r="K15" s="3000">
        <f t="shared" si="1"/>
        <v>16560</v>
      </c>
      <c r="L15" s="2909">
        <v>0</v>
      </c>
      <c r="M15" s="2909">
        <v>0</v>
      </c>
      <c r="N15" s="2909">
        <v>0</v>
      </c>
      <c r="O15" s="3000">
        <f t="shared" si="2"/>
        <v>0</v>
      </c>
      <c r="P15" s="2909">
        <v>0</v>
      </c>
      <c r="Q15" s="2909">
        <v>0</v>
      </c>
      <c r="R15" s="2909">
        <v>0</v>
      </c>
      <c r="S15" s="3000">
        <f t="shared" si="3"/>
        <v>0</v>
      </c>
      <c r="T15" s="2910" t="s">
        <v>2619</v>
      </c>
      <c r="U15" s="2911" t="s">
        <v>2588</v>
      </c>
      <c r="V15" s="2993">
        <v>2</v>
      </c>
      <c r="W15" s="2993">
        <v>6</v>
      </c>
      <c r="X15" s="2993">
        <v>15</v>
      </c>
    </row>
    <row r="16" spans="1:24" ht="29.25" customHeight="1">
      <c r="A16" s="2891">
        <v>11</v>
      </c>
      <c r="B16" s="2903" t="s">
        <v>2614</v>
      </c>
      <c r="C16" s="2939">
        <v>7920</v>
      </c>
      <c r="D16" s="2909">
        <v>0</v>
      </c>
      <c r="E16" s="2909">
        <v>7920</v>
      </c>
      <c r="F16" s="2909">
        <v>0</v>
      </c>
      <c r="G16" s="3000">
        <f t="shared" si="0"/>
        <v>7920</v>
      </c>
      <c r="H16" s="2909">
        <v>0</v>
      </c>
      <c r="I16" s="2909">
        <v>0</v>
      </c>
      <c r="J16" s="2909">
        <v>0</v>
      </c>
      <c r="K16" s="3000">
        <f t="shared" si="1"/>
        <v>0</v>
      </c>
      <c r="L16" s="2909">
        <v>0</v>
      </c>
      <c r="M16" s="2909">
        <v>0</v>
      </c>
      <c r="N16" s="2909">
        <v>0</v>
      </c>
      <c r="O16" s="3000">
        <f t="shared" si="2"/>
        <v>0</v>
      </c>
      <c r="P16" s="2909">
        <v>0</v>
      </c>
      <c r="Q16" s="2909">
        <v>0</v>
      </c>
      <c r="R16" s="2909">
        <v>0</v>
      </c>
      <c r="S16" s="3000">
        <f t="shared" si="3"/>
        <v>0</v>
      </c>
      <c r="T16" s="2910" t="s">
        <v>2619</v>
      </c>
      <c r="U16" s="2912" t="s">
        <v>2588</v>
      </c>
      <c r="V16" s="2994">
        <v>2</v>
      </c>
      <c r="W16" s="2994">
        <v>6</v>
      </c>
      <c r="X16" s="2989">
        <v>15</v>
      </c>
    </row>
    <row r="17" spans="1:27" ht="30" customHeight="1">
      <c r="A17" s="2896">
        <v>12</v>
      </c>
      <c r="B17" s="2940" t="s">
        <v>281</v>
      </c>
      <c r="C17" s="2931">
        <v>21775</v>
      </c>
      <c r="D17" s="2913">
        <v>0</v>
      </c>
      <c r="E17" s="2913">
        <v>0</v>
      </c>
      <c r="F17" s="2913">
        <v>7800</v>
      </c>
      <c r="G17" s="3000">
        <f t="shared" si="0"/>
        <v>7800</v>
      </c>
      <c r="H17" s="2913">
        <v>0</v>
      </c>
      <c r="I17" s="2913">
        <v>0</v>
      </c>
      <c r="J17" s="2913">
        <v>6175</v>
      </c>
      <c r="K17" s="3000">
        <f t="shared" si="1"/>
        <v>6175</v>
      </c>
      <c r="L17" s="2913">
        <v>0</v>
      </c>
      <c r="M17" s="2913">
        <v>0</v>
      </c>
      <c r="N17" s="2913">
        <v>0</v>
      </c>
      <c r="O17" s="3000">
        <f t="shared" si="2"/>
        <v>0</v>
      </c>
      <c r="P17" s="2913">
        <v>0</v>
      </c>
      <c r="Q17" s="2913">
        <v>7800</v>
      </c>
      <c r="R17" s="2913">
        <v>0</v>
      </c>
      <c r="S17" s="3000">
        <f t="shared" si="3"/>
        <v>7800</v>
      </c>
      <c r="T17" s="2894" t="s">
        <v>2991</v>
      </c>
      <c r="U17" s="2914" t="s">
        <v>280</v>
      </c>
      <c r="V17" s="2993">
        <v>3</v>
      </c>
      <c r="W17" s="2993">
        <v>10</v>
      </c>
      <c r="X17" s="2993">
        <v>32</v>
      </c>
      <c r="Y17" s="2915">
        <v>3</v>
      </c>
      <c r="Z17" s="2915">
        <v>10</v>
      </c>
      <c r="AA17" s="2915">
        <v>32</v>
      </c>
    </row>
    <row r="18" spans="1:27" ht="41.25" customHeight="1">
      <c r="A18" s="2891">
        <v>13</v>
      </c>
      <c r="B18" s="2892" t="s">
        <v>294</v>
      </c>
      <c r="C18" s="2931">
        <v>17760</v>
      </c>
      <c r="D18" s="2913">
        <v>0</v>
      </c>
      <c r="E18" s="2913">
        <v>0</v>
      </c>
      <c r="F18" s="2913">
        <v>0</v>
      </c>
      <c r="G18" s="3000">
        <f t="shared" si="0"/>
        <v>0</v>
      </c>
      <c r="H18" s="2913">
        <v>12000</v>
      </c>
      <c r="I18" s="2913">
        <v>0</v>
      </c>
      <c r="J18" s="2913">
        <v>0</v>
      </c>
      <c r="K18" s="3000">
        <f t="shared" si="1"/>
        <v>12000</v>
      </c>
      <c r="L18" s="2913">
        <v>0</v>
      </c>
      <c r="M18" s="2913">
        <v>0</v>
      </c>
      <c r="N18" s="2913">
        <v>0</v>
      </c>
      <c r="O18" s="3000">
        <f t="shared" si="2"/>
        <v>0</v>
      </c>
      <c r="P18" s="2913">
        <v>5760</v>
      </c>
      <c r="Q18" s="2913">
        <v>0</v>
      </c>
      <c r="R18" s="2913">
        <v>0</v>
      </c>
      <c r="S18" s="3000">
        <f t="shared" si="3"/>
        <v>5760</v>
      </c>
      <c r="T18" s="2894" t="s">
        <v>2991</v>
      </c>
      <c r="U18" s="2914" t="s">
        <v>280</v>
      </c>
      <c r="V18" s="2993">
        <v>1</v>
      </c>
      <c r="W18" s="2993">
        <v>1</v>
      </c>
      <c r="X18" s="2993">
        <v>1</v>
      </c>
      <c r="Y18" s="2915"/>
      <c r="Z18" s="2915"/>
      <c r="AA18" s="2915"/>
    </row>
    <row r="19" spans="1:27" ht="31.75" customHeight="1">
      <c r="A19" s="2896">
        <v>14</v>
      </c>
      <c r="B19" s="2941" t="s">
        <v>303</v>
      </c>
      <c r="C19" s="2916">
        <v>3540</v>
      </c>
      <c r="D19" s="2916">
        <v>0</v>
      </c>
      <c r="E19" s="2916">
        <v>0</v>
      </c>
      <c r="F19" s="2916">
        <v>3540</v>
      </c>
      <c r="G19" s="3000">
        <f t="shared" si="0"/>
        <v>3540</v>
      </c>
      <c r="H19" s="2916">
        <v>0</v>
      </c>
      <c r="I19" s="2916">
        <v>0</v>
      </c>
      <c r="J19" s="2916">
        <v>0</v>
      </c>
      <c r="K19" s="3000">
        <f t="shared" si="1"/>
        <v>0</v>
      </c>
      <c r="L19" s="2916">
        <v>0</v>
      </c>
      <c r="M19" s="2916">
        <v>0</v>
      </c>
      <c r="N19" s="2916">
        <v>0</v>
      </c>
      <c r="O19" s="3000">
        <f t="shared" si="2"/>
        <v>0</v>
      </c>
      <c r="P19" s="2916">
        <v>0</v>
      </c>
      <c r="Q19" s="2916">
        <v>0</v>
      </c>
      <c r="R19" s="2916">
        <v>0</v>
      </c>
      <c r="S19" s="3000">
        <f t="shared" si="3"/>
        <v>0</v>
      </c>
      <c r="T19" s="2929" t="s">
        <v>2991</v>
      </c>
      <c r="U19" s="2905" t="s">
        <v>280</v>
      </c>
      <c r="V19" s="2993">
        <v>2</v>
      </c>
      <c r="W19" s="2993">
        <v>5</v>
      </c>
      <c r="X19" s="2993">
        <v>9</v>
      </c>
    </row>
    <row r="20" spans="1:27" ht="56.25" customHeight="1">
      <c r="A20" s="2891">
        <v>15</v>
      </c>
      <c r="B20" s="2905" t="s">
        <v>320</v>
      </c>
      <c r="C20" s="2916">
        <v>3600</v>
      </c>
      <c r="D20" s="2916">
        <v>0</v>
      </c>
      <c r="E20" s="2916">
        <v>0</v>
      </c>
      <c r="F20" s="2916">
        <v>0</v>
      </c>
      <c r="G20" s="3000">
        <f t="shared" si="0"/>
        <v>0</v>
      </c>
      <c r="H20" s="2916">
        <v>0</v>
      </c>
      <c r="I20" s="2916">
        <v>0</v>
      </c>
      <c r="J20" s="2916">
        <v>0</v>
      </c>
      <c r="K20" s="3000">
        <f t="shared" si="1"/>
        <v>0</v>
      </c>
      <c r="L20" s="2916">
        <v>0</v>
      </c>
      <c r="M20" s="2916">
        <v>0</v>
      </c>
      <c r="N20" s="2916">
        <v>0</v>
      </c>
      <c r="O20" s="3000">
        <f t="shared" si="2"/>
        <v>0</v>
      </c>
      <c r="P20" s="2916">
        <v>0</v>
      </c>
      <c r="Q20" s="2916">
        <v>3600</v>
      </c>
      <c r="R20" s="2916">
        <v>0</v>
      </c>
      <c r="S20" s="3000">
        <f t="shared" si="3"/>
        <v>3600</v>
      </c>
      <c r="T20" s="2917" t="s">
        <v>2991</v>
      </c>
      <c r="U20" s="2917" t="s">
        <v>280</v>
      </c>
      <c r="V20" s="2995">
        <v>4</v>
      </c>
      <c r="W20" s="2995">
        <v>13</v>
      </c>
      <c r="X20" s="2995">
        <v>36</v>
      </c>
    </row>
    <row r="21" spans="1:27" ht="35.25" customHeight="1">
      <c r="A21" s="2896">
        <v>16</v>
      </c>
      <c r="B21" s="2905" t="s">
        <v>329</v>
      </c>
      <c r="C21" s="2916">
        <v>6000</v>
      </c>
      <c r="D21" s="2916">
        <v>0</v>
      </c>
      <c r="E21" s="2916">
        <v>0</v>
      </c>
      <c r="F21" s="2916">
        <v>0</v>
      </c>
      <c r="G21" s="3000">
        <f t="shared" si="0"/>
        <v>0</v>
      </c>
      <c r="H21" s="2916">
        <v>0</v>
      </c>
      <c r="I21" s="2916">
        <v>0</v>
      </c>
      <c r="J21" s="2916">
        <v>0</v>
      </c>
      <c r="K21" s="3000">
        <f t="shared" si="1"/>
        <v>0</v>
      </c>
      <c r="L21" s="2916">
        <v>0</v>
      </c>
      <c r="M21" s="2916">
        <v>6000</v>
      </c>
      <c r="N21" s="2916">
        <v>0</v>
      </c>
      <c r="O21" s="3000">
        <f t="shared" si="2"/>
        <v>6000</v>
      </c>
      <c r="P21" s="2916">
        <v>0</v>
      </c>
      <c r="Q21" s="2916">
        <v>0</v>
      </c>
      <c r="R21" s="2916">
        <v>0</v>
      </c>
      <c r="S21" s="3000">
        <f t="shared" si="3"/>
        <v>0</v>
      </c>
      <c r="T21" s="2917" t="s">
        <v>330</v>
      </c>
      <c r="U21" s="2917" t="s">
        <v>280</v>
      </c>
      <c r="V21" s="2995">
        <v>2</v>
      </c>
      <c r="W21" s="2995">
        <v>5</v>
      </c>
      <c r="X21" s="2995">
        <v>8</v>
      </c>
    </row>
    <row r="22" spans="1:27" s="2918" customFormat="1" ht="35.15" customHeight="1">
      <c r="A22" s="2891">
        <v>17</v>
      </c>
      <c r="B22" s="2905" t="s">
        <v>332</v>
      </c>
      <c r="C22" s="2916">
        <v>3880</v>
      </c>
      <c r="D22" s="2916">
        <v>0</v>
      </c>
      <c r="E22" s="2916">
        <v>0</v>
      </c>
      <c r="F22" s="2916">
        <v>0</v>
      </c>
      <c r="G22" s="3000">
        <f t="shared" si="0"/>
        <v>0</v>
      </c>
      <c r="H22" s="2916">
        <v>0</v>
      </c>
      <c r="I22" s="2916">
        <v>0</v>
      </c>
      <c r="J22" s="2916">
        <v>0</v>
      </c>
      <c r="K22" s="3000">
        <f t="shared" si="1"/>
        <v>0</v>
      </c>
      <c r="L22" s="2916">
        <v>0</v>
      </c>
      <c r="M22" s="2916">
        <v>0</v>
      </c>
      <c r="N22" s="2916">
        <v>2880</v>
      </c>
      <c r="O22" s="3000">
        <f t="shared" si="2"/>
        <v>2880</v>
      </c>
      <c r="P22" s="2916">
        <v>1000</v>
      </c>
      <c r="Q22" s="2916">
        <v>0</v>
      </c>
      <c r="R22" s="2916">
        <v>0</v>
      </c>
      <c r="S22" s="3000">
        <f t="shared" si="3"/>
        <v>1000</v>
      </c>
      <c r="T22" s="2917" t="s">
        <v>2991</v>
      </c>
      <c r="U22" s="2917" t="s">
        <v>280</v>
      </c>
      <c r="V22" s="2996">
        <v>1</v>
      </c>
      <c r="W22" s="2996">
        <v>1</v>
      </c>
      <c r="X22" s="2996">
        <v>1</v>
      </c>
    </row>
    <row r="23" spans="1:27" s="2918" customFormat="1" ht="30.9" customHeight="1">
      <c r="A23" s="2896">
        <v>18</v>
      </c>
      <c r="B23" s="2905" t="s">
        <v>339</v>
      </c>
      <c r="C23" s="2916">
        <v>45000</v>
      </c>
      <c r="D23" s="2916">
        <v>0</v>
      </c>
      <c r="E23" s="2916">
        <v>0</v>
      </c>
      <c r="F23" s="2916">
        <v>0</v>
      </c>
      <c r="G23" s="3000">
        <f t="shared" si="0"/>
        <v>0</v>
      </c>
      <c r="H23" s="2916">
        <v>9000</v>
      </c>
      <c r="I23" s="2916">
        <v>0</v>
      </c>
      <c r="J23" s="2916">
        <v>0</v>
      </c>
      <c r="K23" s="3000">
        <f t="shared" si="1"/>
        <v>9000</v>
      </c>
      <c r="L23" s="2916">
        <v>0</v>
      </c>
      <c r="M23" s="2916">
        <v>36000</v>
      </c>
      <c r="N23" s="2916">
        <v>0</v>
      </c>
      <c r="O23" s="3000">
        <f t="shared" si="2"/>
        <v>36000</v>
      </c>
      <c r="P23" s="2916">
        <v>0</v>
      </c>
      <c r="Q23" s="2916">
        <v>0</v>
      </c>
      <c r="R23" s="2916">
        <v>0</v>
      </c>
      <c r="S23" s="3000">
        <f t="shared" si="3"/>
        <v>0</v>
      </c>
      <c r="T23" s="2917" t="s">
        <v>2991</v>
      </c>
      <c r="U23" s="2917" t="s">
        <v>280</v>
      </c>
      <c r="V23" s="2996">
        <v>1</v>
      </c>
      <c r="W23" s="2996">
        <v>1</v>
      </c>
      <c r="X23" s="2996">
        <v>1</v>
      </c>
    </row>
    <row r="24" spans="1:27" ht="29.15" customHeight="1">
      <c r="A24" s="2891">
        <v>19</v>
      </c>
      <c r="B24" s="2905" t="s">
        <v>357</v>
      </c>
      <c r="C24" s="2916">
        <v>2400</v>
      </c>
      <c r="D24" s="2916">
        <v>0</v>
      </c>
      <c r="E24" s="2916">
        <v>0</v>
      </c>
      <c r="F24" s="2916">
        <v>0</v>
      </c>
      <c r="G24" s="3000">
        <f t="shared" si="0"/>
        <v>0</v>
      </c>
      <c r="H24" s="2916">
        <v>2400</v>
      </c>
      <c r="I24" s="2916">
        <v>0</v>
      </c>
      <c r="J24" s="2916">
        <v>0</v>
      </c>
      <c r="K24" s="3000">
        <f t="shared" si="1"/>
        <v>2400</v>
      </c>
      <c r="L24" s="2916">
        <v>0</v>
      </c>
      <c r="M24" s="2916">
        <v>0</v>
      </c>
      <c r="N24" s="2916">
        <v>0</v>
      </c>
      <c r="O24" s="3000">
        <f t="shared" si="2"/>
        <v>0</v>
      </c>
      <c r="P24" s="2916">
        <v>0</v>
      </c>
      <c r="Q24" s="2916">
        <v>0</v>
      </c>
      <c r="R24" s="2916">
        <v>0</v>
      </c>
      <c r="S24" s="3000">
        <f t="shared" si="3"/>
        <v>0</v>
      </c>
      <c r="T24" s="2917" t="s">
        <v>2991</v>
      </c>
      <c r="U24" s="2917" t="s">
        <v>280</v>
      </c>
      <c r="V24" s="2996">
        <v>2</v>
      </c>
      <c r="W24" s="2996">
        <v>5</v>
      </c>
      <c r="X24" s="2996">
        <v>8</v>
      </c>
    </row>
    <row r="25" spans="1:27" ht="44.6" customHeight="1">
      <c r="A25" s="2896">
        <v>20</v>
      </c>
      <c r="B25" s="2905" t="s">
        <v>366</v>
      </c>
      <c r="C25" s="2916">
        <v>29155</v>
      </c>
      <c r="D25" s="2916">
        <v>735</v>
      </c>
      <c r="E25" s="2916">
        <v>1470</v>
      </c>
      <c r="F25" s="2916">
        <v>1470</v>
      </c>
      <c r="G25" s="3000">
        <f t="shared" si="0"/>
        <v>3675</v>
      </c>
      <c r="H25" s="2916">
        <v>1470</v>
      </c>
      <c r="I25" s="2916">
        <v>1470</v>
      </c>
      <c r="J25" s="2916">
        <v>1470</v>
      </c>
      <c r="K25" s="3000">
        <f t="shared" si="1"/>
        <v>4410</v>
      </c>
      <c r="L25" s="2916">
        <v>1470</v>
      </c>
      <c r="M25" s="2916">
        <v>1470</v>
      </c>
      <c r="N25" s="2916">
        <v>1470</v>
      </c>
      <c r="O25" s="3000">
        <f t="shared" si="2"/>
        <v>4410</v>
      </c>
      <c r="P25" s="2916">
        <v>13720</v>
      </c>
      <c r="Q25" s="2916">
        <v>1470</v>
      </c>
      <c r="R25" s="2916">
        <v>1470</v>
      </c>
      <c r="S25" s="3000">
        <f t="shared" si="3"/>
        <v>16660</v>
      </c>
      <c r="T25" s="2917" t="s">
        <v>2991</v>
      </c>
      <c r="U25" s="2917" t="s">
        <v>280</v>
      </c>
      <c r="V25" s="2996">
        <v>2</v>
      </c>
      <c r="W25" s="2996">
        <v>8</v>
      </c>
      <c r="X25" s="2996">
        <v>28</v>
      </c>
      <c r="Y25" s="70">
        <v>2</v>
      </c>
      <c r="Z25" s="70">
        <v>8</v>
      </c>
      <c r="AA25" s="70">
        <v>30</v>
      </c>
    </row>
    <row r="26" spans="1:27" ht="33.9" customHeight="1">
      <c r="A26" s="2891">
        <v>21</v>
      </c>
      <c r="B26" s="2919" t="s">
        <v>397</v>
      </c>
      <c r="C26" s="2916">
        <v>81000</v>
      </c>
      <c r="D26" s="2916">
        <v>0</v>
      </c>
      <c r="E26" s="2916">
        <v>0</v>
      </c>
      <c r="F26" s="2916">
        <v>81000</v>
      </c>
      <c r="G26" s="3000">
        <f t="shared" si="0"/>
        <v>81000</v>
      </c>
      <c r="H26" s="2916">
        <v>0</v>
      </c>
      <c r="I26" s="2916">
        <v>0</v>
      </c>
      <c r="J26" s="2916">
        <v>0</v>
      </c>
      <c r="K26" s="3000">
        <f t="shared" si="1"/>
        <v>0</v>
      </c>
      <c r="L26" s="2916">
        <v>0</v>
      </c>
      <c r="M26" s="2916">
        <v>0</v>
      </c>
      <c r="N26" s="2916">
        <v>0</v>
      </c>
      <c r="O26" s="3000">
        <f t="shared" si="2"/>
        <v>0</v>
      </c>
      <c r="P26" s="2916">
        <v>0</v>
      </c>
      <c r="Q26" s="2916">
        <v>0</v>
      </c>
      <c r="R26" s="2916">
        <v>0</v>
      </c>
      <c r="S26" s="3000">
        <f t="shared" si="3"/>
        <v>0</v>
      </c>
      <c r="T26" s="2917" t="s">
        <v>2991</v>
      </c>
      <c r="U26" s="2917" t="s">
        <v>396</v>
      </c>
      <c r="V26" s="2996">
        <v>1</v>
      </c>
      <c r="W26" s="2996">
        <v>1</v>
      </c>
      <c r="X26" s="2996">
        <v>2</v>
      </c>
    </row>
    <row r="27" spans="1:27">
      <c r="A27" s="2896">
        <v>22</v>
      </c>
      <c r="B27" s="2919" t="s">
        <v>438</v>
      </c>
      <c r="C27" s="2920">
        <v>41100</v>
      </c>
      <c r="D27" s="2920">
        <v>0</v>
      </c>
      <c r="E27" s="2920">
        <v>0</v>
      </c>
      <c r="F27" s="2920">
        <v>10275</v>
      </c>
      <c r="G27" s="3000">
        <f t="shared" si="0"/>
        <v>10275</v>
      </c>
      <c r="H27" s="2920">
        <v>4800</v>
      </c>
      <c r="I27" s="2920">
        <v>0</v>
      </c>
      <c r="J27" s="2920">
        <v>7875</v>
      </c>
      <c r="K27" s="3000">
        <f t="shared" si="1"/>
        <v>12675</v>
      </c>
      <c r="L27" s="2920">
        <v>0</v>
      </c>
      <c r="M27" s="2920">
        <v>7875</v>
      </c>
      <c r="N27" s="2920">
        <v>0</v>
      </c>
      <c r="O27" s="3000">
        <f t="shared" si="2"/>
        <v>7875</v>
      </c>
      <c r="P27" s="2920">
        <v>7875</v>
      </c>
      <c r="Q27" s="2920">
        <v>2400</v>
      </c>
      <c r="R27" s="2920">
        <v>0</v>
      </c>
      <c r="S27" s="3000">
        <f t="shared" si="3"/>
        <v>10275</v>
      </c>
      <c r="T27" s="2921" t="s">
        <v>1327</v>
      </c>
      <c r="U27" s="2896" t="s">
        <v>280</v>
      </c>
      <c r="V27" s="2895">
        <v>4</v>
      </c>
      <c r="W27" s="2895">
        <v>11</v>
      </c>
      <c r="X27" s="2997">
        <v>32</v>
      </c>
    </row>
    <row r="28" spans="1:27">
      <c r="A28" s="2891">
        <v>23</v>
      </c>
      <c r="B28" s="2919" t="s">
        <v>455</v>
      </c>
      <c r="C28" s="2907">
        <v>104625</v>
      </c>
      <c r="D28" s="2907"/>
      <c r="E28" s="2907">
        <v>0</v>
      </c>
      <c r="F28" s="2907">
        <v>6000</v>
      </c>
      <c r="G28" s="3000">
        <f t="shared" si="0"/>
        <v>6000</v>
      </c>
      <c r="H28" s="2907">
        <v>36000</v>
      </c>
      <c r="I28" s="2907">
        <v>0</v>
      </c>
      <c r="J28" s="2907">
        <v>24000</v>
      </c>
      <c r="K28" s="3000">
        <f t="shared" si="1"/>
        <v>60000</v>
      </c>
      <c r="L28" s="2907">
        <v>0</v>
      </c>
      <c r="M28" s="2907">
        <v>0</v>
      </c>
      <c r="N28" s="2907">
        <v>23625</v>
      </c>
      <c r="O28" s="3000">
        <f t="shared" si="2"/>
        <v>23625</v>
      </c>
      <c r="P28" s="2907">
        <v>9000</v>
      </c>
      <c r="Q28" s="2907">
        <v>3000</v>
      </c>
      <c r="R28" s="2907">
        <v>3000</v>
      </c>
      <c r="S28" s="3000">
        <f t="shared" si="3"/>
        <v>15000</v>
      </c>
      <c r="T28" s="2921" t="s">
        <v>1327</v>
      </c>
      <c r="U28" s="2896" t="s">
        <v>280</v>
      </c>
      <c r="V28" s="2895">
        <v>4</v>
      </c>
      <c r="W28" s="2895">
        <v>11</v>
      </c>
      <c r="X28" s="2997">
        <v>32</v>
      </c>
    </row>
    <row r="29" spans="1:27" ht="19.5" customHeight="1">
      <c r="A29" s="2896">
        <v>24</v>
      </c>
      <c r="B29" s="2923" t="s">
        <v>498</v>
      </c>
      <c r="C29" s="2942">
        <v>14400</v>
      </c>
      <c r="D29" s="2942">
        <v>0</v>
      </c>
      <c r="E29" s="2942">
        <v>0</v>
      </c>
      <c r="F29" s="2942">
        <v>7200</v>
      </c>
      <c r="G29" s="3000">
        <f t="shared" si="0"/>
        <v>7200</v>
      </c>
      <c r="H29" s="2942">
        <v>0</v>
      </c>
      <c r="I29" s="2942">
        <v>0</v>
      </c>
      <c r="J29" s="2942">
        <v>0</v>
      </c>
      <c r="K29" s="3000">
        <f t="shared" si="1"/>
        <v>0</v>
      </c>
      <c r="L29" s="2942">
        <v>0</v>
      </c>
      <c r="M29" s="2942">
        <v>0</v>
      </c>
      <c r="N29" s="2942">
        <v>7200</v>
      </c>
      <c r="O29" s="3000">
        <f t="shared" si="2"/>
        <v>7200</v>
      </c>
      <c r="P29" s="2942">
        <v>0</v>
      </c>
      <c r="Q29" s="2942">
        <v>0</v>
      </c>
      <c r="R29" s="2942">
        <v>0</v>
      </c>
      <c r="S29" s="3000">
        <f t="shared" si="3"/>
        <v>0</v>
      </c>
      <c r="T29" s="2921" t="s">
        <v>1327</v>
      </c>
      <c r="U29" s="2896" t="s">
        <v>280</v>
      </c>
      <c r="V29" s="2895">
        <v>3</v>
      </c>
      <c r="W29" s="2895">
        <v>10</v>
      </c>
      <c r="X29" s="2997">
        <v>31</v>
      </c>
    </row>
    <row r="30" spans="1:27" ht="27" customHeight="1">
      <c r="A30" s="2891">
        <v>25</v>
      </c>
      <c r="B30" s="2924" t="s">
        <v>513</v>
      </c>
      <c r="C30" s="2907">
        <v>55200</v>
      </c>
      <c r="D30" s="2898">
        <v>0</v>
      </c>
      <c r="E30" s="2898">
        <v>8400</v>
      </c>
      <c r="F30" s="2898">
        <v>7200</v>
      </c>
      <c r="G30" s="3000">
        <f t="shared" si="0"/>
        <v>15600</v>
      </c>
      <c r="H30" s="2898">
        <v>0</v>
      </c>
      <c r="I30" s="2898">
        <v>8400</v>
      </c>
      <c r="J30" s="2898">
        <v>0</v>
      </c>
      <c r="K30" s="3000">
        <f t="shared" si="1"/>
        <v>8400</v>
      </c>
      <c r="L30" s="2898">
        <v>0</v>
      </c>
      <c r="M30" s="2898">
        <v>8400</v>
      </c>
      <c r="N30" s="2898">
        <v>0</v>
      </c>
      <c r="O30" s="3000">
        <f t="shared" si="2"/>
        <v>8400</v>
      </c>
      <c r="P30" s="2898">
        <v>0</v>
      </c>
      <c r="Q30" s="2898">
        <v>8400</v>
      </c>
      <c r="R30" s="2898">
        <v>14400</v>
      </c>
      <c r="S30" s="3000">
        <f t="shared" si="3"/>
        <v>22800</v>
      </c>
      <c r="T30" s="2921" t="s">
        <v>1327</v>
      </c>
      <c r="U30" s="2896" t="s">
        <v>280</v>
      </c>
      <c r="V30" s="2895">
        <v>4</v>
      </c>
      <c r="W30" s="2895">
        <v>13</v>
      </c>
      <c r="X30" s="2998">
        <v>36</v>
      </c>
    </row>
    <row r="31" spans="1:27" s="68" customFormat="1" ht="35.6" customHeight="1">
      <c r="A31" s="2896">
        <v>26</v>
      </c>
      <c r="B31" s="2943" t="s">
        <v>2068</v>
      </c>
      <c r="C31" s="2944">
        <v>15600</v>
      </c>
      <c r="D31" s="2945">
        <v>0</v>
      </c>
      <c r="E31" s="2945">
        <v>0</v>
      </c>
      <c r="F31" s="2945">
        <v>0</v>
      </c>
      <c r="G31" s="3000">
        <f t="shared" si="0"/>
        <v>0</v>
      </c>
      <c r="H31" s="2945">
        <v>0</v>
      </c>
      <c r="I31" s="2945">
        <v>0</v>
      </c>
      <c r="J31" s="2945">
        <v>0</v>
      </c>
      <c r="K31" s="3000">
        <f t="shared" si="1"/>
        <v>0</v>
      </c>
      <c r="L31" s="2945">
        <v>0</v>
      </c>
      <c r="M31" s="2945">
        <v>15600</v>
      </c>
      <c r="N31" s="2945">
        <v>0</v>
      </c>
      <c r="O31" s="3000">
        <f t="shared" si="2"/>
        <v>15600</v>
      </c>
      <c r="P31" s="2945">
        <v>0</v>
      </c>
      <c r="Q31" s="2945">
        <v>0</v>
      </c>
      <c r="R31" s="2945">
        <v>0</v>
      </c>
      <c r="S31" s="3000">
        <f t="shared" si="3"/>
        <v>0</v>
      </c>
      <c r="T31" s="2930" t="s">
        <v>2081</v>
      </c>
      <c r="U31" s="2895" t="s">
        <v>893</v>
      </c>
      <c r="V31" s="2895">
        <v>4</v>
      </c>
      <c r="W31" s="2914">
        <v>13</v>
      </c>
      <c r="X31" s="2914">
        <v>36</v>
      </c>
    </row>
    <row r="32" spans="1:27" s="68" customFormat="1" ht="37.75" customHeight="1">
      <c r="A32" s="2891">
        <v>27</v>
      </c>
      <c r="B32" s="2922" t="s">
        <v>2069</v>
      </c>
      <c r="C32" s="2946">
        <v>17400</v>
      </c>
      <c r="D32" s="2947">
        <v>0</v>
      </c>
      <c r="E32" s="2947">
        <v>0</v>
      </c>
      <c r="F32" s="2947">
        <v>0</v>
      </c>
      <c r="G32" s="3000">
        <f t="shared" si="0"/>
        <v>0</v>
      </c>
      <c r="H32" s="2947">
        <v>0</v>
      </c>
      <c r="I32" s="2947">
        <v>17400</v>
      </c>
      <c r="J32" s="2947">
        <v>0</v>
      </c>
      <c r="K32" s="3000">
        <f t="shared" si="1"/>
        <v>17400</v>
      </c>
      <c r="L32" s="2947">
        <v>0</v>
      </c>
      <c r="M32" s="2947">
        <v>0</v>
      </c>
      <c r="N32" s="2947">
        <v>0</v>
      </c>
      <c r="O32" s="3000">
        <f t="shared" si="2"/>
        <v>0</v>
      </c>
      <c r="P32" s="2947">
        <v>0</v>
      </c>
      <c r="Q32" s="2947">
        <v>0</v>
      </c>
      <c r="R32" s="2947">
        <v>0</v>
      </c>
      <c r="S32" s="3000">
        <f t="shared" si="3"/>
        <v>0</v>
      </c>
      <c r="T32" s="2930" t="s">
        <v>2081</v>
      </c>
      <c r="U32" s="2895" t="s">
        <v>893</v>
      </c>
      <c r="V32" s="2895">
        <v>4</v>
      </c>
      <c r="W32" s="2914">
        <v>13</v>
      </c>
      <c r="X32" s="2914">
        <v>57</v>
      </c>
    </row>
    <row r="33" spans="1:253" s="68" customFormat="1" ht="54" customHeight="1">
      <c r="A33" s="2896">
        <v>28</v>
      </c>
      <c r="B33" s="2948" t="s">
        <v>2067</v>
      </c>
      <c r="C33" s="2944">
        <v>23520</v>
      </c>
      <c r="D33" s="2945">
        <v>0</v>
      </c>
      <c r="E33" s="2945">
        <v>0</v>
      </c>
      <c r="F33" s="2945">
        <v>0</v>
      </c>
      <c r="G33" s="3000">
        <f t="shared" si="0"/>
        <v>0</v>
      </c>
      <c r="H33" s="2945">
        <v>3920</v>
      </c>
      <c r="I33" s="2945">
        <v>3920</v>
      </c>
      <c r="J33" s="2945">
        <v>3920</v>
      </c>
      <c r="K33" s="3000">
        <f t="shared" si="1"/>
        <v>11760</v>
      </c>
      <c r="L33" s="2945">
        <v>3920</v>
      </c>
      <c r="M33" s="2945">
        <v>3920</v>
      </c>
      <c r="N33" s="2945">
        <v>3920</v>
      </c>
      <c r="O33" s="3000">
        <f t="shared" si="2"/>
        <v>11760</v>
      </c>
      <c r="P33" s="2945">
        <v>0</v>
      </c>
      <c r="Q33" s="2945">
        <v>0</v>
      </c>
      <c r="R33" s="2945">
        <v>0</v>
      </c>
      <c r="S33" s="3000">
        <f t="shared" si="3"/>
        <v>0</v>
      </c>
      <c r="T33" s="2930" t="s">
        <v>2081</v>
      </c>
      <c r="U33" s="2895" t="s">
        <v>893</v>
      </c>
      <c r="V33" s="2895">
        <v>4</v>
      </c>
      <c r="W33" s="2914">
        <v>13</v>
      </c>
      <c r="X33" s="2914">
        <v>36</v>
      </c>
    </row>
    <row r="34" spans="1:253" s="68" customFormat="1" ht="48.9" customHeight="1">
      <c r="A34" s="2891">
        <v>29</v>
      </c>
      <c r="B34" s="2922" t="s">
        <v>759</v>
      </c>
      <c r="C34" s="2946">
        <v>15600</v>
      </c>
      <c r="D34" s="2947">
        <v>0</v>
      </c>
      <c r="E34" s="2947">
        <v>0</v>
      </c>
      <c r="F34" s="2947">
        <v>0</v>
      </c>
      <c r="G34" s="3000">
        <f t="shared" si="0"/>
        <v>0</v>
      </c>
      <c r="H34" s="2947">
        <v>0</v>
      </c>
      <c r="I34" s="2947">
        <v>0</v>
      </c>
      <c r="J34" s="2947">
        <v>15600</v>
      </c>
      <c r="K34" s="3000">
        <f t="shared" si="1"/>
        <v>15600</v>
      </c>
      <c r="L34" s="2947">
        <v>0</v>
      </c>
      <c r="M34" s="2947">
        <v>0</v>
      </c>
      <c r="N34" s="2947">
        <v>0</v>
      </c>
      <c r="O34" s="3000">
        <f t="shared" si="2"/>
        <v>0</v>
      </c>
      <c r="P34" s="2947">
        <v>0</v>
      </c>
      <c r="Q34" s="2947">
        <v>0</v>
      </c>
      <c r="R34" s="2947">
        <v>0</v>
      </c>
      <c r="S34" s="3000">
        <f t="shared" si="3"/>
        <v>0</v>
      </c>
      <c r="T34" s="2930" t="s">
        <v>2081</v>
      </c>
      <c r="U34" s="2922" t="s">
        <v>831</v>
      </c>
      <c r="V34" s="2895">
        <v>4</v>
      </c>
      <c r="W34" s="2914">
        <v>13</v>
      </c>
      <c r="X34" s="2914">
        <v>36</v>
      </c>
    </row>
    <row r="35" spans="1:253" s="68" customFormat="1" ht="34.950000000000003" customHeight="1">
      <c r="A35" s="2896">
        <v>30</v>
      </c>
      <c r="B35" s="2948" t="s">
        <v>764</v>
      </c>
      <c r="C35" s="2942">
        <v>74400</v>
      </c>
      <c r="D35" s="2945">
        <v>0</v>
      </c>
      <c r="E35" s="2945">
        <v>0</v>
      </c>
      <c r="F35" s="2945">
        <v>0</v>
      </c>
      <c r="G35" s="3000">
        <f t="shared" si="0"/>
        <v>0</v>
      </c>
      <c r="H35" s="2945">
        <v>32400</v>
      </c>
      <c r="I35" s="2945">
        <v>0</v>
      </c>
      <c r="J35" s="2945">
        <v>0</v>
      </c>
      <c r="K35" s="3000">
        <f t="shared" si="1"/>
        <v>32400</v>
      </c>
      <c r="L35" s="2945">
        <v>0</v>
      </c>
      <c r="M35" s="2945">
        <v>0</v>
      </c>
      <c r="N35" s="2945">
        <v>0</v>
      </c>
      <c r="O35" s="3000">
        <f t="shared" si="2"/>
        <v>0</v>
      </c>
      <c r="P35" s="2945">
        <v>0</v>
      </c>
      <c r="Q35" s="2945">
        <v>0</v>
      </c>
      <c r="R35" s="2945">
        <v>42000</v>
      </c>
      <c r="S35" s="3000">
        <f t="shared" si="3"/>
        <v>42000</v>
      </c>
      <c r="T35" s="2930" t="s">
        <v>2081</v>
      </c>
      <c r="U35" s="2895" t="s">
        <v>893</v>
      </c>
      <c r="V35" s="2895">
        <v>4</v>
      </c>
      <c r="W35" s="2895">
        <v>13</v>
      </c>
      <c r="X35" s="2895">
        <v>36</v>
      </c>
    </row>
    <row r="36" spans="1:253" s="68" customFormat="1" ht="30" customHeight="1">
      <c r="A36" s="2891">
        <v>31</v>
      </c>
      <c r="B36" s="2949" t="s">
        <v>2082</v>
      </c>
      <c r="C36" s="2950">
        <v>164000</v>
      </c>
      <c r="D36" s="2946">
        <v>0</v>
      </c>
      <c r="E36" s="2946">
        <v>0</v>
      </c>
      <c r="F36" s="2946">
        <v>164000</v>
      </c>
      <c r="G36" s="3000">
        <f t="shared" si="0"/>
        <v>164000</v>
      </c>
      <c r="H36" s="2946">
        <v>0</v>
      </c>
      <c r="I36" s="2946">
        <v>0</v>
      </c>
      <c r="J36" s="2946">
        <v>0</v>
      </c>
      <c r="K36" s="3000">
        <f t="shared" si="1"/>
        <v>0</v>
      </c>
      <c r="L36" s="2946">
        <v>0</v>
      </c>
      <c r="M36" s="2946">
        <v>0</v>
      </c>
      <c r="N36" s="2946">
        <v>0</v>
      </c>
      <c r="O36" s="3000">
        <f t="shared" si="2"/>
        <v>0</v>
      </c>
      <c r="P36" s="2946">
        <v>0</v>
      </c>
      <c r="Q36" s="2946">
        <v>0</v>
      </c>
      <c r="R36" s="2946">
        <v>0</v>
      </c>
      <c r="S36" s="3000">
        <f t="shared" si="3"/>
        <v>0</v>
      </c>
      <c r="T36" s="2930" t="s">
        <v>2081</v>
      </c>
      <c r="U36" s="2895" t="s">
        <v>2620</v>
      </c>
      <c r="V36" s="2895">
        <v>4</v>
      </c>
      <c r="W36" s="2914">
        <v>13</v>
      </c>
      <c r="X36" s="2914">
        <v>36</v>
      </c>
    </row>
    <row r="37" spans="1:253" s="68" customFormat="1" ht="25.75" customHeight="1">
      <c r="A37" s="2896">
        <v>32</v>
      </c>
      <c r="B37" s="2951" t="s">
        <v>796</v>
      </c>
      <c r="C37" s="2946">
        <v>24000</v>
      </c>
      <c r="D37" s="2947">
        <v>0</v>
      </c>
      <c r="E37" s="2947">
        <v>0</v>
      </c>
      <c r="F37" s="2947">
        <v>0</v>
      </c>
      <c r="G37" s="3000">
        <f t="shared" si="0"/>
        <v>0</v>
      </c>
      <c r="H37" s="2947">
        <v>0</v>
      </c>
      <c r="I37" s="2947">
        <v>0</v>
      </c>
      <c r="J37" s="2947">
        <v>8000</v>
      </c>
      <c r="K37" s="3000">
        <f t="shared" si="1"/>
        <v>8000</v>
      </c>
      <c r="L37" s="2947">
        <v>0</v>
      </c>
      <c r="M37" s="2947">
        <v>0</v>
      </c>
      <c r="N37" s="2947">
        <v>8000</v>
      </c>
      <c r="O37" s="3000">
        <f t="shared" si="2"/>
        <v>8000</v>
      </c>
      <c r="P37" s="2947">
        <v>0</v>
      </c>
      <c r="Q37" s="2947">
        <v>0</v>
      </c>
      <c r="R37" s="2947">
        <v>8000</v>
      </c>
      <c r="S37" s="3000">
        <f t="shared" si="3"/>
        <v>8000</v>
      </c>
      <c r="T37" s="2930" t="s">
        <v>2081</v>
      </c>
      <c r="U37" s="2895" t="s">
        <v>2620</v>
      </c>
      <c r="V37" s="2895">
        <v>4</v>
      </c>
      <c r="W37" s="2914">
        <v>13</v>
      </c>
      <c r="X37" s="2914">
        <v>37</v>
      </c>
    </row>
    <row r="38" spans="1:253" s="68" customFormat="1" ht="34.950000000000003" customHeight="1">
      <c r="A38" s="2891">
        <v>33</v>
      </c>
      <c r="B38" s="2952" t="s">
        <v>803</v>
      </c>
      <c r="C38" s="2946"/>
      <c r="D38" s="2947"/>
      <c r="E38" s="2947"/>
      <c r="F38" s="2947"/>
      <c r="G38" s="3000">
        <f t="shared" si="0"/>
        <v>0</v>
      </c>
      <c r="H38" s="2947"/>
      <c r="I38" s="2947"/>
      <c r="J38" s="2947"/>
      <c r="K38" s="3000">
        <f t="shared" si="1"/>
        <v>0</v>
      </c>
      <c r="L38" s="2947"/>
      <c r="M38" s="2947"/>
      <c r="N38" s="2947"/>
      <c r="O38" s="3000">
        <f t="shared" si="2"/>
        <v>0</v>
      </c>
      <c r="P38" s="2947"/>
      <c r="Q38" s="2947"/>
      <c r="R38" s="2947"/>
      <c r="S38" s="3000">
        <f t="shared" si="3"/>
        <v>0</v>
      </c>
      <c r="T38" s="2930" t="s">
        <v>2081</v>
      </c>
      <c r="U38" s="2895" t="s">
        <v>2621</v>
      </c>
      <c r="V38" s="2895">
        <v>4</v>
      </c>
      <c r="W38" s="2914">
        <v>13</v>
      </c>
      <c r="X38" s="2914">
        <v>35</v>
      </c>
    </row>
    <row r="39" spans="1:253" s="68" customFormat="1" ht="34.950000000000003" customHeight="1">
      <c r="A39" s="2896">
        <v>34</v>
      </c>
      <c r="B39" s="2953" t="s">
        <v>811</v>
      </c>
      <c r="C39" s="2944">
        <v>12000</v>
      </c>
      <c r="D39" s="2954">
        <v>0</v>
      </c>
      <c r="E39" s="2954">
        <v>6000</v>
      </c>
      <c r="F39" s="2954">
        <v>0</v>
      </c>
      <c r="G39" s="3000">
        <f t="shared" si="0"/>
        <v>6000</v>
      </c>
      <c r="H39" s="2954">
        <v>0</v>
      </c>
      <c r="I39" s="2954">
        <v>0</v>
      </c>
      <c r="J39" s="2954">
        <v>0</v>
      </c>
      <c r="K39" s="3000">
        <f t="shared" si="1"/>
        <v>0</v>
      </c>
      <c r="L39" s="2954">
        <v>0</v>
      </c>
      <c r="M39" s="2954">
        <v>0</v>
      </c>
      <c r="N39" s="2954">
        <v>0</v>
      </c>
      <c r="O39" s="3000">
        <f t="shared" si="2"/>
        <v>0</v>
      </c>
      <c r="P39" s="2954">
        <v>6000</v>
      </c>
      <c r="Q39" s="2954">
        <v>0</v>
      </c>
      <c r="R39" s="2954">
        <v>0</v>
      </c>
      <c r="S39" s="3000">
        <f t="shared" si="3"/>
        <v>6000</v>
      </c>
      <c r="T39" s="2914" t="s">
        <v>2081</v>
      </c>
      <c r="U39" s="2895" t="s">
        <v>280</v>
      </c>
      <c r="V39" s="2895"/>
      <c r="W39" s="2914"/>
      <c r="X39" s="2914"/>
    </row>
    <row r="40" spans="1:253" s="68" customFormat="1" ht="46.3" customHeight="1">
      <c r="A40" s="2891">
        <v>35</v>
      </c>
      <c r="B40" s="2922" t="s">
        <v>2079</v>
      </c>
      <c r="C40" s="2946">
        <v>1250</v>
      </c>
      <c r="D40" s="2946">
        <v>0</v>
      </c>
      <c r="E40" s="2946">
        <v>625</v>
      </c>
      <c r="F40" s="2946">
        <v>0</v>
      </c>
      <c r="G40" s="3000">
        <f t="shared" si="0"/>
        <v>625</v>
      </c>
      <c r="H40" s="2946">
        <v>0</v>
      </c>
      <c r="I40" s="2946">
        <v>0</v>
      </c>
      <c r="J40" s="2946">
        <v>0</v>
      </c>
      <c r="K40" s="3000">
        <f t="shared" si="1"/>
        <v>0</v>
      </c>
      <c r="L40" s="2946">
        <v>0</v>
      </c>
      <c r="M40" s="2946">
        <v>0</v>
      </c>
      <c r="N40" s="2946">
        <v>0</v>
      </c>
      <c r="O40" s="3000">
        <f t="shared" si="2"/>
        <v>0</v>
      </c>
      <c r="P40" s="2946">
        <v>0</v>
      </c>
      <c r="Q40" s="2946">
        <v>625</v>
      </c>
      <c r="R40" s="2946">
        <v>0</v>
      </c>
      <c r="S40" s="3000">
        <f t="shared" si="3"/>
        <v>625</v>
      </c>
      <c r="T40" s="2914" t="s">
        <v>2081</v>
      </c>
      <c r="U40" s="2895" t="s">
        <v>280</v>
      </c>
      <c r="V40" s="2895">
        <v>4</v>
      </c>
      <c r="W40" s="2914">
        <v>13</v>
      </c>
      <c r="X40" s="2914">
        <v>35</v>
      </c>
    </row>
    <row r="41" spans="1:253" s="68" customFormat="1" ht="33.9" customHeight="1">
      <c r="A41" s="2896">
        <v>36</v>
      </c>
      <c r="B41" s="2955" t="s">
        <v>2080</v>
      </c>
      <c r="C41" s="2944">
        <v>8640</v>
      </c>
      <c r="D41" s="2954">
        <v>720</v>
      </c>
      <c r="E41" s="2954">
        <v>720</v>
      </c>
      <c r="F41" s="2954">
        <v>720</v>
      </c>
      <c r="G41" s="3000">
        <f t="shared" si="0"/>
        <v>2160</v>
      </c>
      <c r="H41" s="2954">
        <v>720</v>
      </c>
      <c r="I41" s="2954">
        <v>720</v>
      </c>
      <c r="J41" s="2954">
        <v>720</v>
      </c>
      <c r="K41" s="3000">
        <f t="shared" si="1"/>
        <v>2160</v>
      </c>
      <c r="L41" s="2954">
        <v>720</v>
      </c>
      <c r="M41" s="2954">
        <v>720</v>
      </c>
      <c r="N41" s="2954">
        <v>720</v>
      </c>
      <c r="O41" s="3000">
        <f t="shared" si="2"/>
        <v>2160</v>
      </c>
      <c r="P41" s="2954">
        <v>720</v>
      </c>
      <c r="Q41" s="2954">
        <v>720</v>
      </c>
      <c r="R41" s="2954">
        <v>720</v>
      </c>
      <c r="S41" s="3000">
        <f t="shared" si="3"/>
        <v>2160</v>
      </c>
      <c r="T41" s="2914" t="s">
        <v>2081</v>
      </c>
      <c r="U41" s="2895" t="s">
        <v>280</v>
      </c>
      <c r="V41" s="2895">
        <v>4</v>
      </c>
      <c r="W41" s="2914">
        <v>13</v>
      </c>
      <c r="X41" s="2914">
        <v>35</v>
      </c>
    </row>
    <row r="42" spans="1:253" s="2961" customFormat="1" ht="48.9" customHeight="1">
      <c r="A42" s="2891">
        <v>37</v>
      </c>
      <c r="B42" s="2957" t="s">
        <v>826</v>
      </c>
      <c r="C42" s="2958">
        <v>590500</v>
      </c>
      <c r="D42" s="2959">
        <v>0</v>
      </c>
      <c r="E42" s="2959">
        <v>0</v>
      </c>
      <c r="F42" s="2959">
        <v>0</v>
      </c>
      <c r="G42" s="3000">
        <f t="shared" si="0"/>
        <v>0</v>
      </c>
      <c r="H42" s="2959">
        <v>590500</v>
      </c>
      <c r="I42" s="2959">
        <v>0</v>
      </c>
      <c r="J42" s="2959">
        <v>0</v>
      </c>
      <c r="K42" s="3000">
        <f t="shared" si="1"/>
        <v>590500</v>
      </c>
      <c r="L42" s="2959">
        <v>0</v>
      </c>
      <c r="M42" s="2959">
        <v>0</v>
      </c>
      <c r="N42" s="2959">
        <v>0</v>
      </c>
      <c r="O42" s="3000">
        <f t="shared" si="2"/>
        <v>0</v>
      </c>
      <c r="P42" s="2959">
        <v>0</v>
      </c>
      <c r="Q42" s="2959">
        <v>0</v>
      </c>
      <c r="R42" s="2959">
        <v>0</v>
      </c>
      <c r="S42" s="3000">
        <f t="shared" si="3"/>
        <v>0</v>
      </c>
      <c r="T42" s="2956" t="s">
        <v>2081</v>
      </c>
      <c r="U42" s="2914" t="s">
        <v>831</v>
      </c>
      <c r="V42" s="2895">
        <v>4</v>
      </c>
      <c r="W42" s="2914">
        <v>13</v>
      </c>
      <c r="X42" s="2914">
        <v>36</v>
      </c>
      <c r="Y42" s="2960"/>
      <c r="Z42" s="2960"/>
      <c r="AA42" s="2960"/>
      <c r="AB42" s="2960"/>
      <c r="AC42" s="2960"/>
      <c r="AD42" s="2960"/>
      <c r="AE42" s="2960"/>
      <c r="AF42" s="2960"/>
      <c r="AG42" s="2960"/>
    </row>
    <row r="43" spans="1:253">
      <c r="A43" s="2896">
        <v>38</v>
      </c>
      <c r="B43" s="2962" t="s">
        <v>2625</v>
      </c>
      <c r="C43" s="2925">
        <v>68600</v>
      </c>
      <c r="D43" s="2925">
        <v>0</v>
      </c>
      <c r="E43" s="2925">
        <v>8200</v>
      </c>
      <c r="F43" s="2925">
        <v>8700</v>
      </c>
      <c r="G43" s="3000">
        <f t="shared" si="0"/>
        <v>16900</v>
      </c>
      <c r="H43" s="2925">
        <v>0</v>
      </c>
      <c r="I43" s="2925">
        <v>8700</v>
      </c>
      <c r="J43" s="2925">
        <v>8200</v>
      </c>
      <c r="K43" s="3000">
        <f t="shared" si="1"/>
        <v>16900</v>
      </c>
      <c r="L43" s="2925">
        <v>500</v>
      </c>
      <c r="M43" s="2925">
        <v>8200</v>
      </c>
      <c r="N43" s="2925">
        <v>8700</v>
      </c>
      <c r="O43" s="3000">
        <f t="shared" si="2"/>
        <v>17400</v>
      </c>
      <c r="P43" s="2925">
        <v>0</v>
      </c>
      <c r="Q43" s="2925">
        <v>8700</v>
      </c>
      <c r="R43" s="2925">
        <v>8700</v>
      </c>
      <c r="S43" s="3000">
        <f t="shared" si="3"/>
        <v>17400</v>
      </c>
      <c r="T43" s="2926" t="s">
        <v>2626</v>
      </c>
      <c r="U43" s="2963" t="s">
        <v>893</v>
      </c>
      <c r="V43" s="2993">
        <v>1</v>
      </c>
      <c r="W43" s="2993">
        <v>3</v>
      </c>
      <c r="X43" s="2993">
        <v>6</v>
      </c>
      <c r="Z43" s="2964"/>
      <c r="AA43" s="2964"/>
      <c r="AB43" s="2964"/>
      <c r="AC43" s="2964"/>
      <c r="AD43" s="2964"/>
      <c r="AE43" s="2964"/>
      <c r="AF43" s="2964"/>
      <c r="AG43" s="2964"/>
      <c r="AH43" s="2964"/>
      <c r="AI43" s="2964"/>
      <c r="AJ43" s="2964"/>
      <c r="AK43" s="2964"/>
      <c r="AL43" s="2964"/>
      <c r="AM43" s="2964"/>
      <c r="AN43" s="2964"/>
      <c r="AO43" s="2964"/>
      <c r="AP43" s="2964"/>
      <c r="AQ43" s="2964"/>
      <c r="AR43" s="2964"/>
      <c r="AS43" s="2964"/>
      <c r="AT43" s="2964"/>
      <c r="AU43" s="2964"/>
      <c r="AV43" s="2964"/>
      <c r="AW43" s="2964"/>
      <c r="AX43" s="2964"/>
      <c r="AY43" s="2964"/>
      <c r="AZ43" s="2964"/>
      <c r="BA43" s="2964"/>
      <c r="BB43" s="2964"/>
      <c r="BC43" s="2964"/>
      <c r="BD43" s="2964"/>
      <c r="BE43" s="2964"/>
      <c r="BF43" s="2964"/>
      <c r="BG43" s="2964"/>
      <c r="BH43" s="2964"/>
      <c r="BI43" s="2964"/>
      <c r="BJ43" s="2964"/>
      <c r="BK43" s="2964"/>
      <c r="BL43" s="2964"/>
      <c r="BM43" s="2964"/>
      <c r="BN43" s="2964"/>
      <c r="BO43" s="2964"/>
      <c r="BP43" s="2964"/>
      <c r="BQ43" s="2964"/>
      <c r="BR43" s="2964"/>
      <c r="BS43" s="2964"/>
      <c r="BT43" s="2964"/>
      <c r="BU43" s="2964"/>
      <c r="BV43" s="2964"/>
      <c r="BW43" s="2964"/>
      <c r="BX43" s="2964"/>
      <c r="BY43" s="2964"/>
      <c r="BZ43" s="2964"/>
      <c r="CA43" s="2964"/>
      <c r="CB43" s="2964"/>
      <c r="CC43" s="2964"/>
      <c r="CD43" s="2964"/>
      <c r="CE43" s="2964"/>
      <c r="CF43" s="2964"/>
      <c r="CG43" s="2964"/>
      <c r="CH43" s="2964"/>
      <c r="CI43" s="2925"/>
      <c r="CJ43" s="2925"/>
      <c r="CK43" s="2925"/>
      <c r="CL43" s="2925"/>
      <c r="CM43" s="2925"/>
      <c r="CN43" s="2925"/>
      <c r="CO43" s="2925"/>
      <c r="CP43" s="2925"/>
      <c r="CQ43" s="2925"/>
      <c r="CR43" s="2925"/>
      <c r="CS43" s="2925"/>
      <c r="CT43" s="2925"/>
      <c r="CU43" s="2925"/>
      <c r="CV43" s="2925"/>
      <c r="CW43" s="2925"/>
      <c r="CX43" s="2925"/>
      <c r="CY43" s="2925"/>
      <c r="CZ43" s="2925"/>
      <c r="DA43" s="2925"/>
      <c r="DB43" s="2925"/>
      <c r="DC43" s="2925"/>
      <c r="DD43" s="2925"/>
      <c r="DE43" s="2925"/>
      <c r="DF43" s="2925"/>
      <c r="DG43" s="2925"/>
      <c r="DH43" s="2925"/>
      <c r="DI43" s="2925"/>
      <c r="DJ43" s="2925"/>
      <c r="DK43" s="2925"/>
      <c r="DL43" s="2925"/>
      <c r="DM43" s="2925"/>
      <c r="DN43" s="2925"/>
      <c r="DO43" s="2925"/>
      <c r="DP43" s="2925"/>
      <c r="DQ43" s="2925"/>
      <c r="DR43" s="2925"/>
      <c r="DS43" s="2925"/>
      <c r="DT43" s="2925"/>
      <c r="DU43" s="2925"/>
      <c r="DV43" s="2925"/>
      <c r="DW43" s="2925"/>
      <c r="DX43" s="2925"/>
      <c r="DY43" s="2925"/>
      <c r="DZ43" s="2925"/>
      <c r="EA43" s="2925"/>
      <c r="EB43" s="2925"/>
      <c r="EC43" s="2925"/>
      <c r="ED43" s="2925"/>
      <c r="EE43" s="2925"/>
      <c r="EF43" s="2925"/>
      <c r="EG43" s="2925"/>
      <c r="EH43" s="2925"/>
      <c r="EI43" s="2925"/>
      <c r="EJ43" s="2925"/>
      <c r="EK43" s="2925"/>
      <c r="EL43" s="2925"/>
      <c r="EM43" s="2925"/>
      <c r="EN43" s="2925"/>
      <c r="EO43" s="2925"/>
      <c r="EP43" s="2925"/>
      <c r="EQ43" s="2925"/>
      <c r="ER43" s="2925"/>
      <c r="ES43" s="2925"/>
      <c r="ET43" s="2925"/>
      <c r="EU43" s="2925"/>
      <c r="EV43" s="2925"/>
      <c r="EW43" s="2925"/>
      <c r="EX43" s="2925"/>
      <c r="EY43" s="2925"/>
      <c r="EZ43" s="2925"/>
      <c r="FA43" s="2925"/>
      <c r="FB43" s="2925"/>
      <c r="FC43" s="2925"/>
      <c r="FD43" s="2925"/>
      <c r="FE43" s="2925"/>
      <c r="FF43" s="2925"/>
      <c r="FG43" s="2925"/>
      <c r="FH43" s="2925"/>
      <c r="FI43" s="2925"/>
      <c r="FJ43" s="2925"/>
      <c r="FK43" s="2925"/>
      <c r="FL43" s="2925"/>
      <c r="FM43" s="2925"/>
      <c r="FN43" s="2925"/>
      <c r="FO43" s="2925"/>
      <c r="FP43" s="2925"/>
      <c r="FQ43" s="2925"/>
      <c r="FR43" s="2925"/>
      <c r="FS43" s="2925"/>
      <c r="FT43" s="2925"/>
      <c r="FU43" s="2925"/>
      <c r="FV43" s="2925"/>
      <c r="FW43" s="2925"/>
      <c r="FX43" s="2925"/>
      <c r="FY43" s="2925"/>
      <c r="FZ43" s="2925"/>
      <c r="GA43" s="2925"/>
      <c r="GB43" s="2925"/>
      <c r="GC43" s="2925"/>
      <c r="GD43" s="2925"/>
      <c r="GE43" s="2925"/>
      <c r="GF43" s="2925"/>
      <c r="GG43" s="2925"/>
      <c r="GH43" s="2925"/>
      <c r="GI43" s="2925"/>
      <c r="GJ43" s="2925"/>
      <c r="GK43" s="2925"/>
      <c r="GL43" s="2925"/>
      <c r="GM43" s="2925"/>
      <c r="GN43" s="2925"/>
      <c r="GO43" s="2925"/>
      <c r="GP43" s="2925"/>
      <c r="GQ43" s="2925"/>
      <c r="GR43" s="2925"/>
      <c r="GS43" s="2925"/>
      <c r="GT43" s="2925"/>
      <c r="GU43" s="2925"/>
      <c r="GV43" s="2925"/>
      <c r="GW43" s="2925"/>
      <c r="GX43" s="2925"/>
      <c r="GY43" s="2925"/>
      <c r="GZ43" s="2925"/>
      <c r="HA43" s="2925"/>
      <c r="HB43" s="2925"/>
      <c r="HC43" s="2925"/>
      <c r="HD43" s="2925"/>
      <c r="HE43" s="2925"/>
      <c r="HF43" s="2925"/>
      <c r="HG43" s="2925"/>
      <c r="HH43" s="2925"/>
      <c r="HI43" s="2925"/>
      <c r="HJ43" s="2925"/>
      <c r="HK43" s="2925"/>
      <c r="HL43" s="2925"/>
      <c r="HM43" s="2925"/>
      <c r="HN43" s="2925"/>
      <c r="HO43" s="2925"/>
      <c r="HP43" s="2925"/>
      <c r="HQ43" s="2925"/>
      <c r="HR43" s="2925"/>
      <c r="HS43" s="2925"/>
      <c r="HT43" s="2925"/>
      <c r="HU43" s="2925"/>
      <c r="HV43" s="2925"/>
      <c r="HW43" s="2925"/>
      <c r="HX43" s="2925"/>
      <c r="HY43" s="2925"/>
      <c r="HZ43" s="2925"/>
      <c r="IA43" s="2925"/>
      <c r="IB43" s="2925"/>
      <c r="IC43" s="2925"/>
      <c r="ID43" s="2925"/>
      <c r="IE43" s="2925"/>
      <c r="IF43" s="2925"/>
      <c r="IG43" s="2925"/>
      <c r="IH43" s="2925"/>
      <c r="II43" s="2925"/>
      <c r="IJ43" s="2925"/>
      <c r="IK43" s="2925"/>
      <c r="IL43" s="2925"/>
      <c r="IM43" s="2925"/>
      <c r="IN43" s="2925"/>
      <c r="IO43" s="2925"/>
      <c r="IP43" s="2925"/>
      <c r="IQ43" s="2925"/>
      <c r="IR43" s="2925"/>
      <c r="IS43" s="2925"/>
    </row>
    <row r="44" spans="1:253">
      <c r="A44" s="2891">
        <v>39</v>
      </c>
      <c r="B44" s="2922" t="s">
        <v>2632</v>
      </c>
      <c r="C44" s="2927">
        <v>231400</v>
      </c>
      <c r="D44" s="2927">
        <v>0</v>
      </c>
      <c r="E44" s="2927">
        <v>0</v>
      </c>
      <c r="F44" s="2927">
        <v>62250</v>
      </c>
      <c r="G44" s="3000">
        <f t="shared" si="0"/>
        <v>62250</v>
      </c>
      <c r="H44" s="2927">
        <v>12250</v>
      </c>
      <c r="I44" s="2927">
        <v>89650</v>
      </c>
      <c r="J44" s="2927">
        <v>22250</v>
      </c>
      <c r="K44" s="3000">
        <f t="shared" si="1"/>
        <v>124150</v>
      </c>
      <c r="L44" s="2927">
        <v>12250</v>
      </c>
      <c r="M44" s="2927">
        <v>12250</v>
      </c>
      <c r="N44" s="2927">
        <v>11000</v>
      </c>
      <c r="O44" s="3000">
        <f t="shared" si="2"/>
        <v>35500</v>
      </c>
      <c r="P44" s="2927">
        <v>1000</v>
      </c>
      <c r="Q44" s="2927">
        <v>1000</v>
      </c>
      <c r="R44" s="2927">
        <v>7500</v>
      </c>
      <c r="S44" s="3000">
        <f t="shared" si="3"/>
        <v>9500</v>
      </c>
      <c r="T44" s="2896" t="s">
        <v>2633</v>
      </c>
      <c r="U44" s="2963" t="s">
        <v>2634</v>
      </c>
      <c r="V44" s="2993"/>
      <c r="W44" s="2993"/>
      <c r="X44" s="2993"/>
      <c r="Z44" s="2918"/>
    </row>
    <row r="45" spans="1:253" ht="66" customHeight="1">
      <c r="A45" s="2896">
        <v>40</v>
      </c>
      <c r="B45" s="2965" t="s">
        <v>2648</v>
      </c>
      <c r="C45" s="2966">
        <v>378800</v>
      </c>
      <c r="D45" s="2967">
        <v>1500</v>
      </c>
      <c r="E45" s="2967">
        <v>1500</v>
      </c>
      <c r="F45" s="2967">
        <v>10000</v>
      </c>
      <c r="G45" s="3000">
        <f t="shared" si="0"/>
        <v>13000</v>
      </c>
      <c r="H45" s="2967">
        <v>339700</v>
      </c>
      <c r="I45" s="2967">
        <v>5075</v>
      </c>
      <c r="J45" s="2967">
        <v>3925</v>
      </c>
      <c r="K45" s="3000">
        <f t="shared" si="1"/>
        <v>348700</v>
      </c>
      <c r="L45" s="2967">
        <v>2000</v>
      </c>
      <c r="M45" s="2967">
        <v>4700</v>
      </c>
      <c r="N45" s="2967">
        <v>3500</v>
      </c>
      <c r="O45" s="3000">
        <f t="shared" si="2"/>
        <v>10200</v>
      </c>
      <c r="P45" s="2967">
        <v>3900</v>
      </c>
      <c r="Q45" s="2967">
        <v>1500</v>
      </c>
      <c r="R45" s="2967">
        <v>1500</v>
      </c>
      <c r="S45" s="3000">
        <f t="shared" si="3"/>
        <v>6900</v>
      </c>
      <c r="T45" s="2968" t="s">
        <v>2626</v>
      </c>
      <c r="U45" s="2969" t="s">
        <v>2649</v>
      </c>
      <c r="V45" s="2993"/>
      <c r="W45" s="2993"/>
      <c r="X45" s="2993"/>
    </row>
    <row r="46" spans="1:253">
      <c r="A46" s="2891">
        <v>41</v>
      </c>
      <c r="B46" s="2970" t="s">
        <v>2671</v>
      </c>
      <c r="C46" s="2907">
        <v>232060</v>
      </c>
      <c r="D46" s="2898">
        <v>3600</v>
      </c>
      <c r="E46" s="2898">
        <v>1500</v>
      </c>
      <c r="F46" s="2898">
        <v>13350</v>
      </c>
      <c r="G46" s="3000">
        <f t="shared" si="0"/>
        <v>18450</v>
      </c>
      <c r="H46" s="2898">
        <v>49200</v>
      </c>
      <c r="I46" s="2898">
        <v>32450</v>
      </c>
      <c r="J46" s="2898">
        <v>54240</v>
      </c>
      <c r="K46" s="3000">
        <f t="shared" si="1"/>
        <v>135890</v>
      </c>
      <c r="L46" s="2898">
        <v>3000</v>
      </c>
      <c r="M46" s="2898">
        <v>500</v>
      </c>
      <c r="N46" s="2898">
        <v>62700</v>
      </c>
      <c r="O46" s="3000">
        <f t="shared" si="2"/>
        <v>66200</v>
      </c>
      <c r="P46" s="2898">
        <v>3960</v>
      </c>
      <c r="Q46" s="2898">
        <v>7560</v>
      </c>
      <c r="R46" s="2898">
        <v>32700</v>
      </c>
      <c r="S46" s="3000">
        <f t="shared" si="3"/>
        <v>44220</v>
      </c>
      <c r="T46" s="2929"/>
      <c r="U46" s="2905"/>
      <c r="V46" s="2999">
        <v>1</v>
      </c>
      <c r="W46" s="2999">
        <v>3</v>
      </c>
      <c r="X46" s="2999">
        <v>6</v>
      </c>
    </row>
    <row r="47" spans="1:253">
      <c r="A47" s="2896">
        <v>42</v>
      </c>
      <c r="B47" s="2948" t="s">
        <v>2782</v>
      </c>
      <c r="D47" s="2928"/>
      <c r="E47" s="2928"/>
      <c r="F47" s="2928"/>
      <c r="G47" s="3000">
        <f t="shared" si="0"/>
        <v>0</v>
      </c>
      <c r="H47" s="2928"/>
      <c r="I47" s="2928"/>
      <c r="J47" s="2928"/>
      <c r="K47" s="3000">
        <f t="shared" si="1"/>
        <v>0</v>
      </c>
      <c r="L47" s="2928"/>
      <c r="M47" s="2928"/>
      <c r="N47" s="2928"/>
      <c r="O47" s="3000">
        <f t="shared" si="2"/>
        <v>0</v>
      </c>
      <c r="P47" s="2928"/>
      <c r="Q47" s="2928"/>
      <c r="R47" s="2928"/>
      <c r="S47" s="3000">
        <f t="shared" si="3"/>
        <v>0</v>
      </c>
      <c r="T47" s="2929"/>
      <c r="U47" s="2930"/>
      <c r="V47" s="2921">
        <v>1</v>
      </c>
      <c r="W47" s="2921">
        <v>3</v>
      </c>
      <c r="X47" s="2921">
        <v>6</v>
      </c>
      <c r="Y47" s="2918"/>
    </row>
    <row r="48" spans="1:253" ht="33.75" customHeight="1">
      <c r="A48" s="2971"/>
      <c r="B48" s="2972" t="s">
        <v>3004</v>
      </c>
      <c r="C48" s="2936">
        <v>531700</v>
      </c>
      <c r="D48" s="2973">
        <v>0</v>
      </c>
      <c r="E48" s="2973">
        <v>7200</v>
      </c>
      <c r="F48" s="2973">
        <v>64000</v>
      </c>
      <c r="G48" s="3000">
        <f t="shared" si="0"/>
        <v>71200</v>
      </c>
      <c r="H48" s="2973">
        <v>88650</v>
      </c>
      <c r="I48" s="2973">
        <v>95000</v>
      </c>
      <c r="J48" s="2973">
        <v>68050</v>
      </c>
      <c r="K48" s="3000">
        <f t="shared" si="1"/>
        <v>251700</v>
      </c>
      <c r="L48" s="2973">
        <v>12000</v>
      </c>
      <c r="M48" s="2973">
        <v>22050</v>
      </c>
      <c r="N48" s="2973">
        <v>68500</v>
      </c>
      <c r="O48" s="3000">
        <f t="shared" si="2"/>
        <v>102550</v>
      </c>
      <c r="P48" s="2973">
        <v>29250</v>
      </c>
      <c r="Q48" s="2973">
        <v>118250</v>
      </c>
      <c r="R48" s="2973">
        <v>8250</v>
      </c>
      <c r="S48" s="3000">
        <f t="shared" si="3"/>
        <v>155750</v>
      </c>
      <c r="T48" s="2974" t="s">
        <v>2626</v>
      </c>
      <c r="U48" s="2941" t="s">
        <v>2750</v>
      </c>
      <c r="V48" s="2921">
        <v>1</v>
      </c>
      <c r="W48" s="2921">
        <v>3</v>
      </c>
      <c r="X48" s="2921">
        <v>6</v>
      </c>
    </row>
    <row r="49" spans="1:27" ht="33.75" customHeight="1">
      <c r="A49" s="2971"/>
      <c r="B49" s="2972" t="s">
        <v>3004</v>
      </c>
      <c r="C49" s="2936">
        <v>49500</v>
      </c>
      <c r="D49" s="2973"/>
      <c r="E49" s="2973"/>
      <c r="F49" s="2973"/>
      <c r="G49" s="3000">
        <f t="shared" si="0"/>
        <v>0</v>
      </c>
      <c r="H49" s="2973"/>
      <c r="I49" s="2973"/>
      <c r="J49" s="2973"/>
      <c r="K49" s="3000">
        <f t="shared" si="1"/>
        <v>0</v>
      </c>
      <c r="L49" s="2973"/>
      <c r="M49" s="2973"/>
      <c r="N49" s="2973"/>
      <c r="O49" s="3000">
        <f t="shared" si="2"/>
        <v>0</v>
      </c>
      <c r="P49" s="2973"/>
      <c r="Q49" s="2973"/>
      <c r="R49" s="2973"/>
      <c r="S49" s="3000">
        <f t="shared" si="3"/>
        <v>0</v>
      </c>
      <c r="T49" s="2974" t="s">
        <v>2626</v>
      </c>
      <c r="U49" s="2941" t="s">
        <v>280</v>
      </c>
      <c r="V49" s="2921">
        <v>1</v>
      </c>
      <c r="W49" s="2921">
        <v>3</v>
      </c>
      <c r="X49" s="2921">
        <v>6</v>
      </c>
    </row>
    <row r="50" spans="1:27">
      <c r="A50" s="2930">
        <v>43</v>
      </c>
      <c r="B50" s="2976" t="s">
        <v>2861</v>
      </c>
      <c r="C50" s="2977">
        <v>102105</v>
      </c>
      <c r="D50" s="2978">
        <v>0</v>
      </c>
      <c r="E50" s="2978">
        <v>25010</v>
      </c>
      <c r="F50" s="2978">
        <v>14950</v>
      </c>
      <c r="G50" s="3000">
        <f t="shared" si="0"/>
        <v>39960</v>
      </c>
      <c r="H50" s="2978">
        <v>12000</v>
      </c>
      <c r="I50" s="2978">
        <v>4475</v>
      </c>
      <c r="J50" s="2978">
        <v>0</v>
      </c>
      <c r="K50" s="3000">
        <f t="shared" si="1"/>
        <v>16475</v>
      </c>
      <c r="L50" s="2978">
        <v>0</v>
      </c>
      <c r="M50" s="2978">
        <v>7315</v>
      </c>
      <c r="N50" s="2978">
        <v>6720</v>
      </c>
      <c r="O50" s="3000">
        <f t="shared" si="2"/>
        <v>14035</v>
      </c>
      <c r="P50" s="2978">
        <v>18700</v>
      </c>
      <c r="Q50" s="2978">
        <v>11135</v>
      </c>
      <c r="R50" s="2978">
        <v>1800</v>
      </c>
      <c r="S50" s="3000">
        <f t="shared" si="3"/>
        <v>31635</v>
      </c>
      <c r="T50" s="2975"/>
      <c r="U50" s="2975"/>
      <c r="V50" s="2993">
        <v>2</v>
      </c>
      <c r="W50" s="2930">
        <v>6</v>
      </c>
      <c r="X50" s="2930">
        <v>12</v>
      </c>
    </row>
    <row r="51" spans="1:27">
      <c r="A51" s="2891">
        <v>44</v>
      </c>
      <c r="B51" s="2979" t="s">
        <v>2293</v>
      </c>
      <c r="C51" s="2980">
        <v>43200</v>
      </c>
      <c r="D51" s="2981">
        <v>16800</v>
      </c>
      <c r="E51" s="2981">
        <v>26400</v>
      </c>
      <c r="F51" s="2981">
        <v>0</v>
      </c>
      <c r="G51" s="3000">
        <f t="shared" si="0"/>
        <v>43200</v>
      </c>
      <c r="H51" s="2981">
        <v>0</v>
      </c>
      <c r="I51" s="2981">
        <v>0</v>
      </c>
      <c r="J51" s="2981">
        <v>0</v>
      </c>
      <c r="K51" s="3000">
        <f t="shared" si="1"/>
        <v>0</v>
      </c>
      <c r="L51" s="2981">
        <v>0</v>
      </c>
      <c r="M51" s="2981">
        <v>0</v>
      </c>
      <c r="N51" s="2981">
        <v>0</v>
      </c>
      <c r="O51" s="3000">
        <f t="shared" si="2"/>
        <v>0</v>
      </c>
      <c r="P51" s="2981">
        <v>0</v>
      </c>
      <c r="Q51" s="2981">
        <v>0</v>
      </c>
      <c r="R51" s="2981">
        <v>0</v>
      </c>
      <c r="S51" s="3000">
        <f t="shared" si="3"/>
        <v>0</v>
      </c>
      <c r="T51" s="2894" t="s">
        <v>2294</v>
      </c>
      <c r="U51" s="2982" t="s">
        <v>280</v>
      </c>
      <c r="V51" s="2993">
        <v>4</v>
      </c>
      <c r="W51" s="2993">
        <v>11</v>
      </c>
      <c r="X51" s="2993">
        <v>33</v>
      </c>
      <c r="Y51" s="70">
        <v>4</v>
      </c>
      <c r="Z51" s="70">
        <v>11</v>
      </c>
      <c r="AA51" s="70">
        <v>33</v>
      </c>
    </row>
    <row r="52" spans="1:27">
      <c r="A52" s="2930">
        <v>45</v>
      </c>
      <c r="B52" s="2897" t="s">
        <v>2313</v>
      </c>
      <c r="C52" s="2983">
        <v>114500</v>
      </c>
      <c r="D52" s="2981">
        <v>114500</v>
      </c>
      <c r="E52" s="2981">
        <v>0</v>
      </c>
      <c r="F52" s="2981">
        <v>0</v>
      </c>
      <c r="G52" s="3000">
        <f t="shared" si="0"/>
        <v>114500</v>
      </c>
      <c r="H52" s="2981">
        <v>0</v>
      </c>
      <c r="I52" s="2981">
        <v>0</v>
      </c>
      <c r="J52" s="2981">
        <v>0</v>
      </c>
      <c r="K52" s="3000">
        <f t="shared" si="1"/>
        <v>0</v>
      </c>
      <c r="L52" s="2981">
        <v>0</v>
      </c>
      <c r="M52" s="2981">
        <v>0</v>
      </c>
      <c r="N52" s="2981">
        <v>0</v>
      </c>
      <c r="O52" s="3000">
        <f t="shared" si="2"/>
        <v>0</v>
      </c>
      <c r="P52" s="2981">
        <v>0</v>
      </c>
      <c r="Q52" s="2981">
        <v>0</v>
      </c>
      <c r="R52" s="2981">
        <v>0</v>
      </c>
      <c r="S52" s="3000">
        <f t="shared" si="3"/>
        <v>0</v>
      </c>
      <c r="T52" s="2894" t="s">
        <v>2294</v>
      </c>
      <c r="U52" s="2982" t="s">
        <v>2290</v>
      </c>
      <c r="V52" s="2993">
        <v>4</v>
      </c>
      <c r="W52" s="2993">
        <v>11</v>
      </c>
      <c r="X52" s="2993">
        <v>33</v>
      </c>
      <c r="Y52" s="70">
        <v>4</v>
      </c>
      <c r="Z52" s="70">
        <v>11</v>
      </c>
      <c r="AA52" s="70">
        <v>33</v>
      </c>
    </row>
    <row r="53" spans="1:27">
      <c r="A53" s="2891">
        <v>46</v>
      </c>
      <c r="B53" s="70" t="s">
        <v>2321</v>
      </c>
      <c r="C53" s="70">
        <v>1004000</v>
      </c>
      <c r="D53" s="70">
        <v>0</v>
      </c>
      <c r="E53" s="70">
        <v>0</v>
      </c>
      <c r="F53" s="70">
        <v>0</v>
      </c>
      <c r="G53" s="3000">
        <f t="shared" si="0"/>
        <v>0</v>
      </c>
      <c r="H53" s="70">
        <v>0</v>
      </c>
      <c r="I53" s="70">
        <v>0</v>
      </c>
      <c r="J53" s="70">
        <v>502000</v>
      </c>
      <c r="K53" s="3000">
        <f t="shared" si="1"/>
        <v>502000</v>
      </c>
      <c r="L53" s="70">
        <v>0</v>
      </c>
      <c r="M53" s="70">
        <v>0</v>
      </c>
      <c r="N53" s="70">
        <v>0</v>
      </c>
      <c r="O53" s="3000">
        <f t="shared" si="2"/>
        <v>0</v>
      </c>
      <c r="P53" s="70">
        <v>0</v>
      </c>
      <c r="Q53" s="70">
        <v>502000</v>
      </c>
      <c r="R53" s="70">
        <v>0</v>
      </c>
      <c r="S53" s="3000">
        <f t="shared" si="3"/>
        <v>502000</v>
      </c>
      <c r="T53" s="70" t="s">
        <v>2294</v>
      </c>
      <c r="U53" s="70" t="s">
        <v>2290</v>
      </c>
      <c r="V53" s="2921">
        <v>4</v>
      </c>
      <c r="W53" s="2921">
        <v>11</v>
      </c>
      <c r="X53" s="2921">
        <v>33</v>
      </c>
      <c r="Y53" s="70">
        <v>4</v>
      </c>
      <c r="Z53" s="70">
        <v>11</v>
      </c>
      <c r="AA53" s="70">
        <v>33</v>
      </c>
    </row>
    <row r="54" spans="1:27" ht="27" customHeight="1">
      <c r="A54" s="2930">
        <v>47</v>
      </c>
      <c r="B54" s="2919" t="s">
        <v>2333</v>
      </c>
      <c r="C54" s="2932">
        <v>153600</v>
      </c>
      <c r="D54" s="2984">
        <v>0</v>
      </c>
      <c r="E54" s="2984">
        <v>0</v>
      </c>
      <c r="F54" s="2984">
        <v>4800</v>
      </c>
      <c r="G54" s="3000">
        <f t="shared" si="0"/>
        <v>4800</v>
      </c>
      <c r="H54" s="2984">
        <v>72000</v>
      </c>
      <c r="I54" s="2984">
        <v>0</v>
      </c>
      <c r="J54" s="2984">
        <v>0</v>
      </c>
      <c r="K54" s="3000">
        <f t="shared" si="1"/>
        <v>72000</v>
      </c>
      <c r="L54" s="2984">
        <v>0</v>
      </c>
      <c r="M54" s="2984">
        <v>4800</v>
      </c>
      <c r="N54" s="2984">
        <v>72000</v>
      </c>
      <c r="O54" s="3000">
        <f t="shared" si="2"/>
        <v>76800</v>
      </c>
      <c r="P54" s="2984">
        <v>0</v>
      </c>
      <c r="Q54" s="2984">
        <v>0</v>
      </c>
      <c r="R54" s="2984">
        <v>0</v>
      </c>
      <c r="S54" s="3000">
        <f t="shared" si="3"/>
        <v>0</v>
      </c>
      <c r="T54" s="2894" t="s">
        <v>2294</v>
      </c>
      <c r="U54" s="2982" t="s">
        <v>280</v>
      </c>
      <c r="V54" s="2921">
        <v>4</v>
      </c>
      <c r="W54" s="2921">
        <v>11</v>
      </c>
      <c r="X54" s="2921">
        <v>33</v>
      </c>
    </row>
    <row r="55" spans="1:27" ht="34.85" customHeight="1">
      <c r="A55" s="2891">
        <v>48</v>
      </c>
      <c r="B55" s="2985" t="s">
        <v>2349</v>
      </c>
      <c r="C55" s="2983">
        <v>148800</v>
      </c>
      <c r="D55" s="2986">
        <v>0</v>
      </c>
      <c r="E55" s="2986">
        <v>0</v>
      </c>
      <c r="F55" s="2986">
        <v>64800</v>
      </c>
      <c r="G55" s="3000">
        <f t="shared" si="0"/>
        <v>64800</v>
      </c>
      <c r="H55" s="2986">
        <v>9600</v>
      </c>
      <c r="I55" s="2986">
        <v>0</v>
      </c>
      <c r="J55" s="2986">
        <v>0</v>
      </c>
      <c r="K55" s="3000">
        <f t="shared" si="1"/>
        <v>9600</v>
      </c>
      <c r="L55" s="2986">
        <v>0</v>
      </c>
      <c r="M55" s="2986">
        <v>64800</v>
      </c>
      <c r="N55" s="2986">
        <v>9600</v>
      </c>
      <c r="O55" s="3000">
        <f t="shared" si="2"/>
        <v>74400</v>
      </c>
      <c r="P55" s="2986">
        <v>0</v>
      </c>
      <c r="Q55" s="2986">
        <v>0</v>
      </c>
      <c r="R55" s="2986">
        <v>0</v>
      </c>
      <c r="S55" s="3000">
        <f t="shared" si="3"/>
        <v>0</v>
      </c>
      <c r="T55" s="2894" t="s">
        <v>2294</v>
      </c>
      <c r="U55" s="2982" t="s">
        <v>280</v>
      </c>
      <c r="V55" s="2921">
        <v>4</v>
      </c>
      <c r="W55" s="2921">
        <v>11</v>
      </c>
      <c r="X55" s="2921">
        <v>33</v>
      </c>
    </row>
    <row r="56" spans="1:27">
      <c r="A56" s="2930">
        <v>49</v>
      </c>
      <c r="B56" s="70" t="s">
        <v>2368</v>
      </c>
      <c r="C56" s="70">
        <v>4800</v>
      </c>
      <c r="D56" s="70">
        <v>0</v>
      </c>
      <c r="E56" s="70">
        <v>0</v>
      </c>
      <c r="F56" s="70">
        <v>0</v>
      </c>
      <c r="G56" s="3000">
        <f t="shared" si="0"/>
        <v>0</v>
      </c>
      <c r="H56" s="70">
        <v>0</v>
      </c>
      <c r="I56" s="70">
        <v>0</v>
      </c>
      <c r="J56" s="70">
        <v>0</v>
      </c>
      <c r="K56" s="3000">
        <f t="shared" si="1"/>
        <v>0</v>
      </c>
      <c r="L56" s="70">
        <v>0</v>
      </c>
      <c r="M56" s="70">
        <v>0</v>
      </c>
      <c r="N56" s="70">
        <v>0</v>
      </c>
      <c r="O56" s="3000">
        <f t="shared" si="2"/>
        <v>0</v>
      </c>
      <c r="P56" s="70">
        <v>2400</v>
      </c>
      <c r="Q56" s="70">
        <v>2400</v>
      </c>
      <c r="R56" s="70">
        <v>0</v>
      </c>
      <c r="S56" s="3000">
        <f t="shared" si="3"/>
        <v>4800</v>
      </c>
      <c r="T56" s="70" t="s">
        <v>2294</v>
      </c>
      <c r="U56" s="70" t="s">
        <v>280</v>
      </c>
      <c r="V56" s="2921">
        <v>4</v>
      </c>
      <c r="W56" s="2921">
        <v>11</v>
      </c>
      <c r="X56" s="2921">
        <v>33</v>
      </c>
    </row>
    <row r="57" spans="1:27">
      <c r="A57" s="2891">
        <v>50</v>
      </c>
      <c r="B57" s="70" t="s">
        <v>2374</v>
      </c>
      <c r="C57" s="70">
        <v>7200</v>
      </c>
      <c r="D57" s="70">
        <v>0</v>
      </c>
      <c r="E57" s="70">
        <v>0</v>
      </c>
      <c r="F57" s="70">
        <v>0</v>
      </c>
      <c r="G57" s="3000">
        <f t="shared" si="0"/>
        <v>0</v>
      </c>
      <c r="H57" s="70">
        <v>0</v>
      </c>
      <c r="I57" s="70">
        <v>0</v>
      </c>
      <c r="J57" s="70">
        <v>0</v>
      </c>
      <c r="K57" s="3000">
        <f t="shared" si="1"/>
        <v>0</v>
      </c>
      <c r="L57" s="70">
        <v>7200</v>
      </c>
      <c r="M57" s="70">
        <v>0</v>
      </c>
      <c r="N57" s="70">
        <v>0</v>
      </c>
      <c r="O57" s="3000">
        <f t="shared" si="2"/>
        <v>7200</v>
      </c>
      <c r="P57" s="70">
        <v>0</v>
      </c>
      <c r="Q57" s="70">
        <v>0</v>
      </c>
      <c r="R57" s="70">
        <v>0</v>
      </c>
      <c r="S57" s="3000">
        <f t="shared" si="3"/>
        <v>0</v>
      </c>
      <c r="T57" s="70" t="s">
        <v>2294</v>
      </c>
      <c r="U57" s="70" t="s">
        <v>280</v>
      </c>
      <c r="V57" s="2921">
        <v>4</v>
      </c>
      <c r="W57" s="2921">
        <v>11</v>
      </c>
      <c r="X57" s="2921">
        <v>33</v>
      </c>
      <c r="Y57" s="70">
        <v>4</v>
      </c>
      <c r="Z57" s="70">
        <v>11</v>
      </c>
      <c r="AA57" s="70">
        <v>33</v>
      </c>
    </row>
    <row r="58" spans="1:27">
      <c r="A58" s="2930">
        <v>51</v>
      </c>
      <c r="B58" s="70" t="s">
        <v>2382</v>
      </c>
      <c r="C58" s="70">
        <v>2400</v>
      </c>
      <c r="D58" s="70">
        <v>0</v>
      </c>
      <c r="E58" s="70">
        <v>0</v>
      </c>
      <c r="F58" s="70">
        <v>0</v>
      </c>
      <c r="G58" s="3000">
        <f t="shared" si="0"/>
        <v>0</v>
      </c>
      <c r="H58" s="70">
        <v>2400</v>
      </c>
      <c r="I58" s="70">
        <v>0</v>
      </c>
      <c r="J58" s="70">
        <v>0</v>
      </c>
      <c r="K58" s="3000">
        <f t="shared" si="1"/>
        <v>2400</v>
      </c>
      <c r="L58" s="70">
        <v>0</v>
      </c>
      <c r="M58" s="70">
        <v>0</v>
      </c>
      <c r="N58" s="70">
        <v>0</v>
      </c>
      <c r="O58" s="3000">
        <f t="shared" si="2"/>
        <v>0</v>
      </c>
      <c r="P58" s="70">
        <v>0</v>
      </c>
      <c r="Q58" s="70">
        <v>0</v>
      </c>
      <c r="R58" s="70">
        <v>0</v>
      </c>
      <c r="S58" s="3000">
        <f t="shared" si="3"/>
        <v>0</v>
      </c>
      <c r="T58" s="70" t="s">
        <v>2294</v>
      </c>
      <c r="U58" s="70" t="s">
        <v>280</v>
      </c>
      <c r="V58" s="2921">
        <v>4</v>
      </c>
      <c r="W58" s="2921">
        <v>11</v>
      </c>
      <c r="X58" s="2921">
        <v>33</v>
      </c>
      <c r="Y58" s="70">
        <v>4</v>
      </c>
      <c r="Z58" s="70">
        <v>11</v>
      </c>
      <c r="AA58" s="70">
        <v>33</v>
      </c>
    </row>
    <row r="59" spans="1:27">
      <c r="A59" s="2891">
        <v>52</v>
      </c>
      <c r="B59" s="70" t="s">
        <v>2393</v>
      </c>
      <c r="C59" s="70">
        <v>25200</v>
      </c>
      <c r="D59" s="70">
        <v>0</v>
      </c>
      <c r="E59" s="70">
        <v>8400</v>
      </c>
      <c r="F59" s="70">
        <v>0</v>
      </c>
      <c r="G59" s="3000">
        <f t="shared" si="0"/>
        <v>8400</v>
      </c>
      <c r="H59" s="70">
        <v>0</v>
      </c>
      <c r="I59" s="70">
        <v>8400</v>
      </c>
      <c r="J59" s="70">
        <v>0</v>
      </c>
      <c r="K59" s="3000">
        <f t="shared" si="1"/>
        <v>8400</v>
      </c>
      <c r="L59" s="70">
        <v>0</v>
      </c>
      <c r="M59" s="70">
        <v>0</v>
      </c>
      <c r="N59" s="70">
        <v>0</v>
      </c>
      <c r="O59" s="3000">
        <f t="shared" si="2"/>
        <v>0</v>
      </c>
      <c r="P59" s="70">
        <v>0</v>
      </c>
      <c r="Q59" s="70">
        <v>8400</v>
      </c>
      <c r="R59" s="70">
        <v>0</v>
      </c>
      <c r="S59" s="3000">
        <f t="shared" si="3"/>
        <v>8400</v>
      </c>
      <c r="T59" s="70" t="s">
        <v>2294</v>
      </c>
      <c r="U59" s="70" t="s">
        <v>280</v>
      </c>
      <c r="V59" s="2921">
        <v>4</v>
      </c>
      <c r="W59" s="2921">
        <v>11</v>
      </c>
      <c r="X59" s="2921">
        <v>33</v>
      </c>
      <c r="Y59" s="70">
        <v>4</v>
      </c>
      <c r="Z59" s="70">
        <v>11</v>
      </c>
      <c r="AA59" s="70">
        <v>33</v>
      </c>
    </row>
    <row r="60" spans="1:27">
      <c r="A60" s="2930">
        <v>53</v>
      </c>
      <c r="B60" s="70" t="s">
        <v>2397</v>
      </c>
      <c r="C60" s="70">
        <v>81600</v>
      </c>
      <c r="D60" s="70">
        <v>4000</v>
      </c>
      <c r="E60" s="70">
        <v>9600</v>
      </c>
      <c r="F60" s="70">
        <v>4000</v>
      </c>
      <c r="G60" s="3000">
        <f t="shared" si="0"/>
        <v>17600</v>
      </c>
      <c r="H60" s="70">
        <v>9600</v>
      </c>
      <c r="I60" s="70">
        <v>4000</v>
      </c>
      <c r="J60" s="70">
        <v>9600</v>
      </c>
      <c r="K60" s="3000">
        <f t="shared" si="1"/>
        <v>23200</v>
      </c>
      <c r="L60" s="70">
        <v>4000</v>
      </c>
      <c r="M60" s="70">
        <v>9600</v>
      </c>
      <c r="N60" s="70">
        <v>4000</v>
      </c>
      <c r="O60" s="3000">
        <f t="shared" si="2"/>
        <v>17600</v>
      </c>
      <c r="P60" s="70">
        <v>9600</v>
      </c>
      <c r="Q60" s="70">
        <v>4000</v>
      </c>
      <c r="R60" s="70">
        <v>9600</v>
      </c>
      <c r="S60" s="3000">
        <f t="shared" si="3"/>
        <v>23200</v>
      </c>
      <c r="T60" s="70" t="s">
        <v>2294</v>
      </c>
      <c r="U60" s="70" t="s">
        <v>280</v>
      </c>
      <c r="V60" s="2921">
        <v>4</v>
      </c>
      <c r="W60" s="2921">
        <v>11</v>
      </c>
      <c r="X60" s="2921">
        <v>33</v>
      </c>
      <c r="Y60" s="70">
        <v>4</v>
      </c>
      <c r="Z60" s="70">
        <v>11</v>
      </c>
      <c r="AA60" s="70">
        <v>33</v>
      </c>
    </row>
    <row r="61" spans="1:27">
      <c r="A61" s="2891">
        <v>54</v>
      </c>
      <c r="B61" s="70" t="s">
        <v>2401</v>
      </c>
      <c r="C61" s="70">
        <v>9600</v>
      </c>
      <c r="D61" s="70">
        <v>0</v>
      </c>
      <c r="E61" s="70">
        <v>0</v>
      </c>
      <c r="F61" s="70">
        <v>0</v>
      </c>
      <c r="G61" s="3000">
        <f t="shared" si="0"/>
        <v>0</v>
      </c>
      <c r="H61" s="70">
        <v>0</v>
      </c>
      <c r="I61" s="70">
        <v>0</v>
      </c>
      <c r="J61" s="70">
        <v>0</v>
      </c>
      <c r="K61" s="3000">
        <f t="shared" si="1"/>
        <v>0</v>
      </c>
      <c r="L61" s="70">
        <v>0</v>
      </c>
      <c r="M61" s="70">
        <v>0</v>
      </c>
      <c r="N61" s="70">
        <v>0</v>
      </c>
      <c r="O61" s="3000">
        <f t="shared" si="2"/>
        <v>0</v>
      </c>
      <c r="P61" s="70">
        <v>0</v>
      </c>
      <c r="Q61" s="70">
        <v>9600</v>
      </c>
      <c r="R61" s="70">
        <v>0</v>
      </c>
      <c r="S61" s="3000">
        <f t="shared" si="3"/>
        <v>9600</v>
      </c>
      <c r="T61" s="70" t="s">
        <v>2294</v>
      </c>
      <c r="U61" s="70" t="s">
        <v>2290</v>
      </c>
      <c r="V61" s="2921">
        <v>3</v>
      </c>
      <c r="W61" s="2921">
        <v>10</v>
      </c>
      <c r="X61" s="2921">
        <v>30</v>
      </c>
      <c r="Y61" s="70">
        <v>3</v>
      </c>
      <c r="Z61" s="70">
        <v>10</v>
      </c>
      <c r="AA61" s="70">
        <v>30</v>
      </c>
    </row>
    <row r="62" spans="1:27">
      <c r="A62" s="2930">
        <v>55</v>
      </c>
      <c r="B62" s="70" t="s">
        <v>2404</v>
      </c>
      <c r="C62" s="70">
        <v>52200</v>
      </c>
      <c r="D62" s="70">
        <v>4350</v>
      </c>
      <c r="E62" s="70">
        <v>4350</v>
      </c>
      <c r="F62" s="70">
        <v>4350</v>
      </c>
      <c r="G62" s="3000">
        <f t="shared" si="0"/>
        <v>13050</v>
      </c>
      <c r="H62" s="70">
        <v>4350</v>
      </c>
      <c r="I62" s="70">
        <v>4350</v>
      </c>
      <c r="J62" s="70">
        <v>4350</v>
      </c>
      <c r="K62" s="3000">
        <f t="shared" si="1"/>
        <v>13050</v>
      </c>
      <c r="L62" s="70">
        <v>4350</v>
      </c>
      <c r="M62" s="70">
        <v>4350</v>
      </c>
      <c r="N62" s="70">
        <v>4350</v>
      </c>
      <c r="O62" s="3000">
        <f t="shared" si="2"/>
        <v>13050</v>
      </c>
      <c r="P62" s="70">
        <v>4350</v>
      </c>
      <c r="Q62" s="70">
        <v>4350</v>
      </c>
      <c r="R62" s="70">
        <v>4350</v>
      </c>
      <c r="S62" s="3000">
        <f t="shared" si="3"/>
        <v>13050</v>
      </c>
      <c r="T62" s="70" t="s">
        <v>2294</v>
      </c>
      <c r="U62" s="70" t="s">
        <v>280</v>
      </c>
      <c r="V62" s="2921">
        <v>4</v>
      </c>
      <c r="W62" s="2921">
        <v>11</v>
      </c>
      <c r="X62" s="2921">
        <v>33</v>
      </c>
      <c r="Y62" s="70">
        <v>4</v>
      </c>
      <c r="Z62" s="70">
        <v>11</v>
      </c>
      <c r="AA62" s="70">
        <v>33</v>
      </c>
    </row>
    <row r="63" spans="1:27">
      <c r="A63" s="2891">
        <v>56</v>
      </c>
      <c r="B63" s="70" t="s">
        <v>2410</v>
      </c>
      <c r="C63" s="70">
        <v>36000</v>
      </c>
      <c r="D63" s="70">
        <v>0</v>
      </c>
      <c r="E63" s="70">
        <v>6000</v>
      </c>
      <c r="F63" s="70">
        <v>0</v>
      </c>
      <c r="G63" s="3000">
        <f t="shared" si="0"/>
        <v>6000</v>
      </c>
      <c r="H63" s="70">
        <v>6000</v>
      </c>
      <c r="I63" s="70">
        <v>0</v>
      </c>
      <c r="J63" s="70">
        <v>6000</v>
      </c>
      <c r="K63" s="3000">
        <f t="shared" si="1"/>
        <v>12000</v>
      </c>
      <c r="L63" s="70">
        <v>0</v>
      </c>
      <c r="M63" s="70">
        <v>6000</v>
      </c>
      <c r="N63" s="70">
        <v>0</v>
      </c>
      <c r="O63" s="3000">
        <f t="shared" si="2"/>
        <v>6000</v>
      </c>
      <c r="P63" s="70">
        <v>6000</v>
      </c>
      <c r="Q63" s="70">
        <v>0</v>
      </c>
      <c r="R63" s="70">
        <v>6000</v>
      </c>
      <c r="S63" s="3000">
        <f t="shared" si="3"/>
        <v>12000</v>
      </c>
      <c r="T63" s="70" t="s">
        <v>2294</v>
      </c>
      <c r="U63" s="70" t="s">
        <v>280</v>
      </c>
      <c r="V63" s="2921">
        <v>3</v>
      </c>
      <c r="W63" s="2921">
        <v>10</v>
      </c>
      <c r="X63" s="2921">
        <v>30</v>
      </c>
      <c r="Y63" s="70">
        <v>3</v>
      </c>
      <c r="Z63" s="70">
        <v>10</v>
      </c>
      <c r="AA63" s="70">
        <v>30</v>
      </c>
    </row>
    <row r="64" spans="1:27">
      <c r="A64" s="2930">
        <v>57</v>
      </c>
      <c r="B64" s="70" t="s">
        <v>2420</v>
      </c>
      <c r="C64" s="70">
        <v>14400</v>
      </c>
      <c r="D64" s="70">
        <v>0</v>
      </c>
      <c r="E64" s="70">
        <v>0</v>
      </c>
      <c r="F64" s="70">
        <v>0</v>
      </c>
      <c r="G64" s="3000">
        <f t="shared" si="0"/>
        <v>0</v>
      </c>
      <c r="H64" s="70">
        <v>0</v>
      </c>
      <c r="I64" s="70">
        <v>0</v>
      </c>
      <c r="J64" s="70">
        <v>0</v>
      </c>
      <c r="K64" s="3000">
        <f t="shared" si="1"/>
        <v>0</v>
      </c>
      <c r="L64" s="70">
        <v>0</v>
      </c>
      <c r="M64" s="70">
        <v>3600</v>
      </c>
      <c r="N64" s="70">
        <v>0</v>
      </c>
      <c r="O64" s="3000">
        <f t="shared" si="2"/>
        <v>3600</v>
      </c>
      <c r="P64" s="70">
        <v>10800</v>
      </c>
      <c r="Q64" s="70">
        <v>0</v>
      </c>
      <c r="R64" s="70">
        <v>0</v>
      </c>
      <c r="S64" s="3000">
        <f t="shared" si="3"/>
        <v>10800</v>
      </c>
      <c r="T64" s="70" t="s">
        <v>2294</v>
      </c>
      <c r="U64" s="70" t="s">
        <v>280</v>
      </c>
      <c r="V64" s="2921">
        <v>4</v>
      </c>
      <c r="W64" s="2921">
        <v>11</v>
      </c>
      <c r="X64" s="2921">
        <v>33</v>
      </c>
      <c r="Y64" s="70">
        <v>4</v>
      </c>
      <c r="Z64" s="70">
        <v>11</v>
      </c>
      <c r="AA64" s="70">
        <v>33</v>
      </c>
    </row>
    <row r="65" spans="1:30">
      <c r="A65" s="2891">
        <v>58</v>
      </c>
      <c r="B65" s="70" t="s">
        <v>2431</v>
      </c>
      <c r="C65" s="70">
        <v>12000</v>
      </c>
      <c r="D65" s="70">
        <v>0</v>
      </c>
      <c r="E65" s="70">
        <v>0</v>
      </c>
      <c r="F65" s="70">
        <v>0</v>
      </c>
      <c r="G65" s="3000">
        <f t="shared" si="0"/>
        <v>0</v>
      </c>
      <c r="H65" s="70">
        <v>0</v>
      </c>
      <c r="I65" s="70">
        <v>0</v>
      </c>
      <c r="J65" s="70">
        <v>0</v>
      </c>
      <c r="K65" s="3000">
        <f t="shared" si="1"/>
        <v>0</v>
      </c>
      <c r="L65" s="70">
        <v>12000</v>
      </c>
      <c r="M65" s="70">
        <v>0</v>
      </c>
      <c r="N65" s="70">
        <v>0</v>
      </c>
      <c r="O65" s="3000">
        <f t="shared" si="2"/>
        <v>12000</v>
      </c>
      <c r="P65" s="70">
        <v>0</v>
      </c>
      <c r="Q65" s="70">
        <v>0</v>
      </c>
      <c r="R65" s="70">
        <v>0</v>
      </c>
      <c r="S65" s="3000">
        <f t="shared" si="3"/>
        <v>0</v>
      </c>
      <c r="T65" s="70" t="s">
        <v>2294</v>
      </c>
      <c r="U65" s="70" t="s">
        <v>280</v>
      </c>
      <c r="V65" s="2921">
        <v>4</v>
      </c>
      <c r="W65" s="2921" t="s">
        <v>2430</v>
      </c>
      <c r="X65" s="2921" t="s">
        <v>2430</v>
      </c>
      <c r="Y65" s="70">
        <v>4</v>
      </c>
      <c r="Z65" s="70" t="s">
        <v>2430</v>
      </c>
      <c r="AA65" s="70" t="s">
        <v>2430</v>
      </c>
    </row>
    <row r="66" spans="1:30">
      <c r="A66" s="2930">
        <v>59</v>
      </c>
      <c r="B66" s="70" t="s">
        <v>2434</v>
      </c>
      <c r="C66" s="70">
        <v>7500</v>
      </c>
      <c r="D66" s="70">
        <v>0</v>
      </c>
      <c r="E66" s="70">
        <v>0</v>
      </c>
      <c r="F66" s="70">
        <v>3750</v>
      </c>
      <c r="G66" s="3000">
        <f t="shared" si="0"/>
        <v>3750</v>
      </c>
      <c r="H66" s="70">
        <v>0</v>
      </c>
      <c r="I66" s="70">
        <v>0</v>
      </c>
      <c r="J66" s="70">
        <v>0</v>
      </c>
      <c r="K66" s="3000">
        <f t="shared" si="1"/>
        <v>0</v>
      </c>
      <c r="L66" s="70">
        <v>0</v>
      </c>
      <c r="M66" s="70">
        <v>0</v>
      </c>
      <c r="N66" s="70">
        <v>0</v>
      </c>
      <c r="O66" s="3000">
        <f t="shared" si="2"/>
        <v>0</v>
      </c>
      <c r="P66" s="70">
        <v>0</v>
      </c>
      <c r="Q66" s="70">
        <v>0</v>
      </c>
      <c r="R66" s="70">
        <v>3750</v>
      </c>
      <c r="S66" s="3000">
        <f t="shared" si="3"/>
        <v>3750</v>
      </c>
      <c r="T66" s="70" t="s">
        <v>2294</v>
      </c>
      <c r="U66" s="70" t="s">
        <v>280</v>
      </c>
      <c r="V66" s="2921">
        <v>2</v>
      </c>
      <c r="W66" s="2921">
        <v>8</v>
      </c>
      <c r="X66" s="2921">
        <v>28</v>
      </c>
      <c r="Y66" s="70">
        <v>2</v>
      </c>
      <c r="Z66" s="70">
        <v>8</v>
      </c>
      <c r="AA66" s="70">
        <v>28</v>
      </c>
    </row>
    <row r="67" spans="1:30">
      <c r="A67" s="2891">
        <v>60</v>
      </c>
      <c r="B67" s="70" t="s">
        <v>2442</v>
      </c>
      <c r="C67" s="70">
        <v>142200</v>
      </c>
      <c r="D67" s="70">
        <v>0</v>
      </c>
      <c r="E67" s="70">
        <v>13800</v>
      </c>
      <c r="F67" s="70">
        <v>11400</v>
      </c>
      <c r="G67" s="3000">
        <f t="shared" si="0"/>
        <v>25200</v>
      </c>
      <c r="H67" s="70">
        <v>19800</v>
      </c>
      <c r="I67" s="70">
        <v>11400</v>
      </c>
      <c r="J67" s="70">
        <v>13800</v>
      </c>
      <c r="K67" s="3000">
        <f t="shared" si="1"/>
        <v>45000</v>
      </c>
      <c r="L67" s="70">
        <v>11400</v>
      </c>
      <c r="M67" s="70">
        <v>19800</v>
      </c>
      <c r="N67" s="70">
        <v>11400</v>
      </c>
      <c r="O67" s="3000">
        <f t="shared" si="2"/>
        <v>42600</v>
      </c>
      <c r="P67" s="70">
        <v>11400</v>
      </c>
      <c r="Q67" s="70">
        <v>9000</v>
      </c>
      <c r="R67" s="70">
        <v>9000</v>
      </c>
      <c r="S67" s="3000">
        <f t="shared" si="3"/>
        <v>29400</v>
      </c>
      <c r="T67" s="70" t="s">
        <v>2294</v>
      </c>
      <c r="U67" s="70" t="s">
        <v>2443</v>
      </c>
      <c r="V67" s="2921">
        <v>4</v>
      </c>
      <c r="W67" s="2921">
        <v>12</v>
      </c>
      <c r="X67" s="2921">
        <v>3</v>
      </c>
    </row>
    <row r="68" spans="1:30">
      <c r="A68" s="2930">
        <v>61</v>
      </c>
      <c r="B68" s="70" t="s">
        <v>2461</v>
      </c>
      <c r="C68" s="70">
        <v>20400</v>
      </c>
      <c r="D68" s="70">
        <v>3600</v>
      </c>
      <c r="E68" s="70">
        <v>0</v>
      </c>
      <c r="F68" s="70">
        <v>3600</v>
      </c>
      <c r="G68" s="3000">
        <f t="shared" si="0"/>
        <v>7200</v>
      </c>
      <c r="H68" s="70">
        <v>6000</v>
      </c>
      <c r="I68" s="70">
        <v>3600</v>
      </c>
      <c r="J68" s="70">
        <v>0</v>
      </c>
      <c r="K68" s="3000">
        <f t="shared" si="1"/>
        <v>9600</v>
      </c>
      <c r="L68" s="70">
        <v>3600</v>
      </c>
      <c r="M68" s="70">
        <v>0</v>
      </c>
      <c r="N68" s="70">
        <v>0</v>
      </c>
      <c r="O68" s="3000">
        <f t="shared" si="2"/>
        <v>3600</v>
      </c>
      <c r="P68" s="70">
        <v>0</v>
      </c>
      <c r="Q68" s="70">
        <v>0</v>
      </c>
      <c r="R68" s="70">
        <v>0</v>
      </c>
      <c r="S68" s="3000">
        <f t="shared" si="3"/>
        <v>0</v>
      </c>
      <c r="T68" s="70" t="s">
        <v>2294</v>
      </c>
      <c r="U68" s="70" t="s">
        <v>280</v>
      </c>
      <c r="V68" s="2921">
        <v>4</v>
      </c>
      <c r="W68" s="2921">
        <v>12</v>
      </c>
      <c r="X68" s="2921">
        <v>3</v>
      </c>
    </row>
    <row r="69" spans="1:30">
      <c r="A69" s="2891">
        <v>62</v>
      </c>
      <c r="B69" s="70" t="s">
        <v>2471</v>
      </c>
      <c r="C69" s="70">
        <v>500000</v>
      </c>
      <c r="D69" s="70">
        <v>0</v>
      </c>
      <c r="E69" s="70">
        <v>0</v>
      </c>
      <c r="F69" s="70">
        <v>0</v>
      </c>
      <c r="G69" s="3000">
        <f t="shared" si="0"/>
        <v>0</v>
      </c>
      <c r="H69" s="70">
        <v>250000</v>
      </c>
      <c r="I69" s="70">
        <v>0</v>
      </c>
      <c r="J69" s="70">
        <v>0</v>
      </c>
      <c r="K69" s="3000">
        <f t="shared" si="1"/>
        <v>250000</v>
      </c>
      <c r="L69" s="70">
        <v>250000</v>
      </c>
      <c r="M69" s="70">
        <v>0</v>
      </c>
      <c r="N69" s="70">
        <v>0</v>
      </c>
      <c r="O69" s="3000">
        <f t="shared" si="2"/>
        <v>250000</v>
      </c>
      <c r="P69" s="70">
        <v>0</v>
      </c>
      <c r="Q69" s="70">
        <v>0</v>
      </c>
      <c r="R69" s="70">
        <v>0</v>
      </c>
      <c r="S69" s="3000">
        <f t="shared" si="3"/>
        <v>0</v>
      </c>
      <c r="T69" s="70" t="s">
        <v>2472</v>
      </c>
      <c r="U69" s="70" t="s">
        <v>2473</v>
      </c>
      <c r="V69" s="2921">
        <v>2</v>
      </c>
      <c r="W69" s="2921">
        <v>8</v>
      </c>
      <c r="X69" s="2921">
        <v>28</v>
      </c>
    </row>
    <row r="70" spans="1:30">
      <c r="A70" s="2930">
        <v>63</v>
      </c>
      <c r="B70" s="70" t="s">
        <v>2476</v>
      </c>
      <c r="C70" s="70">
        <v>70000</v>
      </c>
      <c r="G70" s="3000">
        <f t="shared" si="0"/>
        <v>0</v>
      </c>
      <c r="I70" s="70">
        <v>70000</v>
      </c>
      <c r="K70" s="3000">
        <f t="shared" si="1"/>
        <v>70000</v>
      </c>
      <c r="O70" s="3000">
        <f t="shared" si="2"/>
        <v>0</v>
      </c>
      <c r="S70" s="3000">
        <f t="shared" si="3"/>
        <v>0</v>
      </c>
      <c r="T70" s="70" t="s">
        <v>2477</v>
      </c>
      <c r="U70" s="70" t="s">
        <v>2478</v>
      </c>
      <c r="V70" s="2921">
        <v>2</v>
      </c>
      <c r="W70" s="2921">
        <v>8</v>
      </c>
      <c r="X70" s="2921">
        <v>28</v>
      </c>
    </row>
    <row r="71" spans="1:30">
      <c r="A71" s="2891">
        <v>64</v>
      </c>
      <c r="B71" s="70" t="s">
        <v>2483</v>
      </c>
      <c r="C71" s="70">
        <v>328510</v>
      </c>
      <c r="D71" s="70">
        <v>0</v>
      </c>
      <c r="E71" s="70">
        <v>328510</v>
      </c>
      <c r="F71" s="70">
        <v>0</v>
      </c>
      <c r="G71" s="3000">
        <f t="shared" ref="G71:G134" si="4">SUM(D71:F71)</f>
        <v>328510</v>
      </c>
      <c r="H71" s="70">
        <v>0</v>
      </c>
      <c r="I71" s="70">
        <v>0</v>
      </c>
      <c r="J71" s="70">
        <v>0</v>
      </c>
      <c r="K71" s="3000">
        <f t="shared" ref="K71:K134" si="5">SUM(H71:J71)</f>
        <v>0</v>
      </c>
      <c r="L71" s="70">
        <v>0</v>
      </c>
      <c r="M71" s="70">
        <v>0</v>
      </c>
      <c r="N71" s="70">
        <v>0</v>
      </c>
      <c r="O71" s="3000">
        <f t="shared" ref="O71:O134" si="6">SUM(L71:N71)</f>
        <v>0</v>
      </c>
      <c r="P71" s="70">
        <v>0</v>
      </c>
      <c r="Q71" s="70">
        <v>0</v>
      </c>
      <c r="R71" s="70">
        <v>0</v>
      </c>
      <c r="S71" s="3000">
        <f t="shared" ref="S71:S134" si="7">SUM(P71:R71)</f>
        <v>0</v>
      </c>
      <c r="T71" s="70" t="s">
        <v>2294</v>
      </c>
      <c r="U71" s="70" t="s">
        <v>2998</v>
      </c>
      <c r="V71" s="2921">
        <v>1</v>
      </c>
      <c r="W71" s="2921">
        <v>3</v>
      </c>
      <c r="X71" s="2921">
        <v>4</v>
      </c>
    </row>
    <row r="72" spans="1:30">
      <c r="A72" s="2930">
        <v>65</v>
      </c>
      <c r="B72" s="70" t="s">
        <v>2491</v>
      </c>
      <c r="C72" s="70">
        <v>70000</v>
      </c>
      <c r="D72" s="70">
        <v>0</v>
      </c>
      <c r="E72" s="70">
        <v>70000</v>
      </c>
      <c r="F72" s="70">
        <v>0</v>
      </c>
      <c r="G72" s="3000">
        <f t="shared" si="4"/>
        <v>70000</v>
      </c>
      <c r="H72" s="70">
        <v>0</v>
      </c>
      <c r="I72" s="70">
        <v>0</v>
      </c>
      <c r="J72" s="70">
        <v>0</v>
      </c>
      <c r="K72" s="3000">
        <f t="shared" si="5"/>
        <v>0</v>
      </c>
      <c r="L72" s="70">
        <v>0</v>
      </c>
      <c r="M72" s="70">
        <v>0</v>
      </c>
      <c r="N72" s="70">
        <v>0</v>
      </c>
      <c r="O72" s="3000">
        <f t="shared" si="6"/>
        <v>0</v>
      </c>
      <c r="P72" s="70">
        <v>0</v>
      </c>
      <c r="Q72" s="70">
        <v>0</v>
      </c>
      <c r="R72" s="70">
        <v>0</v>
      </c>
      <c r="S72" s="3000">
        <f t="shared" si="7"/>
        <v>0</v>
      </c>
      <c r="T72" s="70" t="s">
        <v>2294</v>
      </c>
      <c r="U72" s="70" t="s">
        <v>2443</v>
      </c>
      <c r="V72" s="2921">
        <v>4</v>
      </c>
      <c r="W72" s="2921">
        <v>12</v>
      </c>
      <c r="X72" s="2921">
        <v>3</v>
      </c>
    </row>
    <row r="73" spans="1:30">
      <c r="A73" s="2891">
        <v>66</v>
      </c>
      <c r="B73" s="70" t="s">
        <v>2497</v>
      </c>
      <c r="C73" s="70">
        <v>463600</v>
      </c>
      <c r="D73" s="70">
        <v>0</v>
      </c>
      <c r="E73" s="70">
        <v>0</v>
      </c>
      <c r="F73" s="70">
        <v>0</v>
      </c>
      <c r="G73" s="3000">
        <f t="shared" si="4"/>
        <v>0</v>
      </c>
      <c r="H73" s="70">
        <v>65000</v>
      </c>
      <c r="I73" s="70">
        <v>4500</v>
      </c>
      <c r="J73" s="70">
        <v>281500</v>
      </c>
      <c r="K73" s="3000">
        <f t="shared" si="5"/>
        <v>351000</v>
      </c>
      <c r="L73" s="70">
        <v>0</v>
      </c>
      <c r="M73" s="70">
        <v>88600</v>
      </c>
      <c r="N73" s="70">
        <v>0</v>
      </c>
      <c r="O73" s="3000">
        <f t="shared" si="6"/>
        <v>88600</v>
      </c>
      <c r="P73" s="70">
        <v>24000</v>
      </c>
      <c r="Q73" s="70">
        <v>0</v>
      </c>
      <c r="R73" s="70">
        <v>0</v>
      </c>
      <c r="S73" s="3000">
        <f t="shared" si="7"/>
        <v>24000</v>
      </c>
      <c r="T73" s="70" t="s">
        <v>2498</v>
      </c>
      <c r="U73" s="70" t="s">
        <v>2499</v>
      </c>
      <c r="V73" s="2921">
        <v>4</v>
      </c>
      <c r="W73" s="2921">
        <v>12</v>
      </c>
      <c r="X73" s="2921">
        <v>3</v>
      </c>
    </row>
    <row r="74" spans="1:30">
      <c r="A74" s="2930">
        <v>67</v>
      </c>
      <c r="B74" s="70" t="s">
        <v>2982</v>
      </c>
      <c r="C74" s="70">
        <v>17400</v>
      </c>
      <c r="D74" s="70">
        <v>0</v>
      </c>
      <c r="E74" s="70">
        <v>0</v>
      </c>
      <c r="F74" s="70">
        <v>0</v>
      </c>
      <c r="G74" s="3000">
        <f t="shared" si="4"/>
        <v>0</v>
      </c>
      <c r="H74" s="70">
        <v>0</v>
      </c>
      <c r="I74" s="70">
        <v>0</v>
      </c>
      <c r="J74" s="70">
        <v>17400</v>
      </c>
      <c r="K74" s="3000">
        <f t="shared" si="5"/>
        <v>17400</v>
      </c>
      <c r="L74" s="70">
        <v>0</v>
      </c>
      <c r="M74" s="70">
        <v>0</v>
      </c>
      <c r="N74" s="70">
        <v>0</v>
      </c>
      <c r="O74" s="3000">
        <f t="shared" si="6"/>
        <v>0</v>
      </c>
      <c r="P74" s="70">
        <v>0</v>
      </c>
      <c r="Q74" s="70">
        <v>0</v>
      </c>
      <c r="R74" s="70">
        <v>0</v>
      </c>
      <c r="S74" s="3000">
        <f t="shared" si="7"/>
        <v>0</v>
      </c>
      <c r="T74" s="70" t="s">
        <v>2969</v>
      </c>
      <c r="U74" s="70" t="s">
        <v>280</v>
      </c>
      <c r="V74" s="2921">
        <v>4</v>
      </c>
      <c r="W74" s="2921">
        <v>11</v>
      </c>
      <c r="X74" s="2921">
        <v>32</v>
      </c>
    </row>
    <row r="75" spans="1:30">
      <c r="A75" s="2891">
        <v>68</v>
      </c>
      <c r="B75" s="70" t="s">
        <v>2983</v>
      </c>
      <c r="C75" s="70">
        <v>17400</v>
      </c>
      <c r="D75" s="70">
        <v>0</v>
      </c>
      <c r="E75" s="70">
        <v>17400</v>
      </c>
      <c r="F75" s="70">
        <v>0</v>
      </c>
      <c r="G75" s="3000">
        <f t="shared" si="4"/>
        <v>17400</v>
      </c>
      <c r="H75" s="70">
        <v>0</v>
      </c>
      <c r="I75" s="70">
        <v>0</v>
      </c>
      <c r="J75" s="70">
        <v>0</v>
      </c>
      <c r="K75" s="3000">
        <f t="shared" si="5"/>
        <v>0</v>
      </c>
      <c r="L75" s="70">
        <v>0</v>
      </c>
      <c r="M75" s="70">
        <v>0</v>
      </c>
      <c r="N75" s="70">
        <v>0</v>
      </c>
      <c r="O75" s="3000">
        <f t="shared" si="6"/>
        <v>0</v>
      </c>
      <c r="P75" s="70">
        <v>0</v>
      </c>
      <c r="Q75" s="70">
        <v>0</v>
      </c>
      <c r="R75" s="70">
        <v>0</v>
      </c>
      <c r="S75" s="3000">
        <f t="shared" si="7"/>
        <v>0</v>
      </c>
      <c r="T75" s="70" t="s">
        <v>2969</v>
      </c>
      <c r="U75" s="70" t="s">
        <v>280</v>
      </c>
      <c r="V75" s="2921">
        <v>4</v>
      </c>
      <c r="W75" s="2921">
        <v>11</v>
      </c>
      <c r="X75" s="2921">
        <v>32</v>
      </c>
    </row>
    <row r="76" spans="1:30">
      <c r="A76" s="2930">
        <v>69</v>
      </c>
      <c r="B76" s="70" t="s">
        <v>2984</v>
      </c>
      <c r="C76" s="70">
        <v>17400</v>
      </c>
      <c r="D76" s="70">
        <v>0</v>
      </c>
      <c r="E76" s="70">
        <v>0</v>
      </c>
      <c r="F76" s="70">
        <v>0</v>
      </c>
      <c r="G76" s="3000">
        <f t="shared" si="4"/>
        <v>0</v>
      </c>
      <c r="H76" s="70">
        <v>0</v>
      </c>
      <c r="I76" s="70">
        <v>0</v>
      </c>
      <c r="J76" s="70">
        <v>0</v>
      </c>
      <c r="K76" s="3000">
        <f t="shared" si="5"/>
        <v>0</v>
      </c>
      <c r="L76" s="70">
        <v>0</v>
      </c>
      <c r="M76" s="70">
        <v>17400</v>
      </c>
      <c r="N76" s="70">
        <v>0</v>
      </c>
      <c r="O76" s="3000">
        <f t="shared" si="6"/>
        <v>17400</v>
      </c>
      <c r="P76" s="70">
        <v>0</v>
      </c>
      <c r="Q76" s="70">
        <v>0</v>
      </c>
      <c r="R76" s="70">
        <v>0</v>
      </c>
      <c r="S76" s="3000">
        <f t="shared" si="7"/>
        <v>0</v>
      </c>
      <c r="T76" s="70" t="s">
        <v>2969</v>
      </c>
      <c r="U76" s="70" t="s">
        <v>280</v>
      </c>
      <c r="V76" s="2921">
        <v>4</v>
      </c>
      <c r="W76" s="2921">
        <v>11</v>
      </c>
      <c r="X76" s="2921">
        <v>32</v>
      </c>
    </row>
    <row r="77" spans="1:30">
      <c r="A77" s="2891">
        <v>70</v>
      </c>
      <c r="B77" s="70" t="s">
        <v>851</v>
      </c>
      <c r="C77" s="70">
        <v>8400</v>
      </c>
      <c r="D77" s="70">
        <v>0</v>
      </c>
      <c r="E77" s="70">
        <v>0</v>
      </c>
      <c r="F77" s="70">
        <v>8400</v>
      </c>
      <c r="G77" s="3000">
        <f t="shared" si="4"/>
        <v>8400</v>
      </c>
      <c r="H77" s="70">
        <v>0</v>
      </c>
      <c r="I77" s="70">
        <v>0</v>
      </c>
      <c r="J77" s="70">
        <v>0</v>
      </c>
      <c r="K77" s="3000">
        <f t="shared" si="5"/>
        <v>0</v>
      </c>
      <c r="L77" s="70">
        <v>0</v>
      </c>
      <c r="M77" s="70">
        <v>0</v>
      </c>
      <c r="N77" s="70">
        <v>0</v>
      </c>
      <c r="O77" s="3000">
        <f t="shared" si="6"/>
        <v>0</v>
      </c>
      <c r="P77" s="70">
        <v>0</v>
      </c>
      <c r="Q77" s="70">
        <v>0</v>
      </c>
      <c r="R77" s="70">
        <v>0</v>
      </c>
      <c r="S77" s="3000">
        <f t="shared" si="7"/>
        <v>0</v>
      </c>
      <c r="T77" s="70" t="s">
        <v>1241</v>
      </c>
      <c r="U77" s="70" t="s">
        <v>853</v>
      </c>
      <c r="V77" s="2921">
        <v>2</v>
      </c>
      <c r="W77" s="2921">
        <v>6</v>
      </c>
      <c r="X77" s="2921">
        <v>16</v>
      </c>
      <c r="Y77" s="70">
        <v>8400</v>
      </c>
      <c r="Z77" s="70">
        <v>0</v>
      </c>
      <c r="AA77" s="70">
        <v>0</v>
      </c>
      <c r="AB77" s="70">
        <v>0</v>
      </c>
      <c r="AC77" s="70">
        <v>8400</v>
      </c>
      <c r="AD77" s="70">
        <v>0</v>
      </c>
    </row>
    <row r="78" spans="1:30">
      <c r="A78" s="2930">
        <v>71</v>
      </c>
      <c r="B78" s="70" t="s">
        <v>859</v>
      </c>
      <c r="C78" s="70">
        <v>8400</v>
      </c>
      <c r="D78" s="70">
        <v>0</v>
      </c>
      <c r="E78" s="70">
        <v>0</v>
      </c>
      <c r="F78" s="70">
        <v>0</v>
      </c>
      <c r="G78" s="3000">
        <f t="shared" si="4"/>
        <v>0</v>
      </c>
      <c r="H78" s="70">
        <v>0</v>
      </c>
      <c r="I78" s="70">
        <v>8400</v>
      </c>
      <c r="J78" s="70">
        <v>0</v>
      </c>
      <c r="K78" s="3000">
        <f t="shared" si="5"/>
        <v>8400</v>
      </c>
      <c r="L78" s="70">
        <v>0</v>
      </c>
      <c r="M78" s="70">
        <v>0</v>
      </c>
      <c r="N78" s="70">
        <v>0</v>
      </c>
      <c r="O78" s="3000">
        <f t="shared" si="6"/>
        <v>0</v>
      </c>
      <c r="P78" s="70">
        <v>0</v>
      </c>
      <c r="Q78" s="70">
        <v>0</v>
      </c>
      <c r="R78" s="70">
        <v>0</v>
      </c>
      <c r="S78" s="3000">
        <f t="shared" si="7"/>
        <v>0</v>
      </c>
      <c r="T78" s="70" t="s">
        <v>1241</v>
      </c>
      <c r="U78" s="70" t="s">
        <v>853</v>
      </c>
      <c r="V78" s="2921">
        <v>2</v>
      </c>
      <c r="W78" s="2921">
        <v>6</v>
      </c>
      <c r="X78" s="2921">
        <v>16</v>
      </c>
      <c r="Y78" s="70">
        <v>0</v>
      </c>
      <c r="Z78" s="70">
        <v>8400</v>
      </c>
      <c r="AA78" s="70">
        <v>0</v>
      </c>
      <c r="AB78" s="70">
        <v>0</v>
      </c>
      <c r="AC78" s="70">
        <v>8400</v>
      </c>
      <c r="AD78" s="70">
        <v>0</v>
      </c>
    </row>
    <row r="79" spans="1:30">
      <c r="A79" s="2891">
        <v>72</v>
      </c>
      <c r="B79" s="70" t="s">
        <v>863</v>
      </c>
      <c r="C79" s="70">
        <v>12040</v>
      </c>
      <c r="D79" s="70">
        <v>0</v>
      </c>
      <c r="E79" s="70">
        <v>0</v>
      </c>
      <c r="F79" s="70">
        <v>0</v>
      </c>
      <c r="G79" s="3000">
        <f t="shared" si="4"/>
        <v>0</v>
      </c>
      <c r="H79" s="70">
        <v>6020</v>
      </c>
      <c r="I79" s="70">
        <v>0</v>
      </c>
      <c r="J79" s="70">
        <v>0</v>
      </c>
      <c r="K79" s="3000">
        <f t="shared" si="5"/>
        <v>6020</v>
      </c>
      <c r="L79" s="70">
        <v>6020</v>
      </c>
      <c r="M79" s="70">
        <v>0</v>
      </c>
      <c r="N79" s="70">
        <v>0</v>
      </c>
      <c r="O79" s="3000">
        <f t="shared" si="6"/>
        <v>6020</v>
      </c>
      <c r="P79" s="70">
        <v>0</v>
      </c>
      <c r="Q79" s="70">
        <v>0</v>
      </c>
      <c r="R79" s="70">
        <v>0</v>
      </c>
      <c r="S79" s="3000">
        <f t="shared" si="7"/>
        <v>0</v>
      </c>
      <c r="T79" s="70" t="s">
        <v>1241</v>
      </c>
      <c r="U79" s="70" t="s">
        <v>853</v>
      </c>
      <c r="V79" s="2921">
        <v>2</v>
      </c>
      <c r="W79" s="2921">
        <v>6</v>
      </c>
      <c r="X79" s="2921">
        <v>16</v>
      </c>
      <c r="Y79" s="70">
        <v>0</v>
      </c>
      <c r="Z79" s="70">
        <v>6020</v>
      </c>
      <c r="AA79" s="70">
        <v>6020</v>
      </c>
      <c r="AB79" s="70">
        <v>0</v>
      </c>
      <c r="AC79" s="70">
        <v>12040</v>
      </c>
      <c r="AD79" s="70">
        <v>0</v>
      </c>
    </row>
    <row r="80" spans="1:30">
      <c r="A80" s="2930">
        <v>73</v>
      </c>
      <c r="B80" s="70" t="s">
        <v>869</v>
      </c>
      <c r="C80" s="70">
        <v>181988</v>
      </c>
      <c r="D80" s="70">
        <v>0</v>
      </c>
      <c r="E80" s="70">
        <v>0</v>
      </c>
      <c r="F80" s="70">
        <v>78400</v>
      </c>
      <c r="G80" s="3000">
        <f t="shared" si="4"/>
        <v>78400</v>
      </c>
      <c r="H80" s="70">
        <v>90000</v>
      </c>
      <c r="I80" s="70">
        <v>13588</v>
      </c>
      <c r="J80" s="70">
        <v>0</v>
      </c>
      <c r="K80" s="3000">
        <f t="shared" si="5"/>
        <v>103588</v>
      </c>
      <c r="L80" s="70">
        <v>0</v>
      </c>
      <c r="M80" s="70">
        <v>0</v>
      </c>
      <c r="N80" s="70">
        <v>0</v>
      </c>
      <c r="O80" s="3000">
        <f t="shared" si="6"/>
        <v>0</v>
      </c>
      <c r="P80" s="70">
        <v>0</v>
      </c>
      <c r="Q80" s="70">
        <v>0</v>
      </c>
      <c r="R80" s="70">
        <v>0</v>
      </c>
      <c r="S80" s="3000">
        <f t="shared" si="7"/>
        <v>0</v>
      </c>
      <c r="T80" s="70" t="s">
        <v>1241</v>
      </c>
      <c r="U80" s="70" t="s">
        <v>870</v>
      </c>
      <c r="V80" s="2921">
        <v>2</v>
      </c>
      <c r="W80" s="2921">
        <v>6</v>
      </c>
      <c r="X80" s="2921">
        <v>16</v>
      </c>
      <c r="Y80" s="70">
        <v>78400</v>
      </c>
      <c r="Z80" s="70">
        <v>103588</v>
      </c>
      <c r="AA80" s="70">
        <v>0</v>
      </c>
      <c r="AB80" s="70">
        <v>0</v>
      </c>
      <c r="AC80" s="70">
        <v>181988</v>
      </c>
      <c r="AD80" s="70">
        <v>0</v>
      </c>
    </row>
    <row r="81" spans="1:30">
      <c r="A81" s="2891">
        <v>74</v>
      </c>
      <c r="B81" s="70" t="s">
        <v>892</v>
      </c>
      <c r="C81" s="70">
        <v>4800</v>
      </c>
      <c r="D81" s="70">
        <v>0</v>
      </c>
      <c r="E81" s="70">
        <v>0</v>
      </c>
      <c r="F81" s="70">
        <v>0</v>
      </c>
      <c r="G81" s="3000">
        <f t="shared" si="4"/>
        <v>0</v>
      </c>
      <c r="H81" s="70">
        <v>0</v>
      </c>
      <c r="I81" s="70">
        <v>0</v>
      </c>
      <c r="J81" s="70">
        <v>0</v>
      </c>
      <c r="K81" s="3000">
        <f t="shared" si="5"/>
        <v>0</v>
      </c>
      <c r="L81" s="70">
        <v>4800</v>
      </c>
      <c r="M81" s="70">
        <v>0</v>
      </c>
      <c r="N81" s="70">
        <v>0</v>
      </c>
      <c r="O81" s="3000">
        <f t="shared" si="6"/>
        <v>4800</v>
      </c>
      <c r="P81" s="70">
        <v>0</v>
      </c>
      <c r="Q81" s="70">
        <v>0</v>
      </c>
      <c r="R81" s="70">
        <v>0</v>
      </c>
      <c r="S81" s="3000">
        <f t="shared" si="7"/>
        <v>0</v>
      </c>
      <c r="T81" s="70" t="s">
        <v>1241</v>
      </c>
      <c r="U81" s="70" t="s">
        <v>893</v>
      </c>
      <c r="V81" s="2921">
        <v>2</v>
      </c>
      <c r="W81" s="2921">
        <v>6</v>
      </c>
      <c r="X81" s="2921">
        <v>16</v>
      </c>
      <c r="Y81" s="70">
        <v>0</v>
      </c>
      <c r="Z81" s="70">
        <v>0</v>
      </c>
      <c r="AA81" s="70">
        <v>4800</v>
      </c>
      <c r="AB81" s="70">
        <v>0</v>
      </c>
      <c r="AC81" s="70">
        <v>4800</v>
      </c>
      <c r="AD81" s="70">
        <v>0</v>
      </c>
    </row>
    <row r="82" spans="1:30">
      <c r="A82" s="2930">
        <v>75</v>
      </c>
      <c r="B82" s="70" t="s">
        <v>899</v>
      </c>
      <c r="C82" s="70">
        <v>25000</v>
      </c>
      <c r="D82" s="70">
        <v>0</v>
      </c>
      <c r="E82" s="70">
        <v>3470</v>
      </c>
      <c r="F82" s="70">
        <v>0</v>
      </c>
      <c r="G82" s="3000">
        <f t="shared" si="4"/>
        <v>3470</v>
      </c>
      <c r="H82" s="70">
        <v>19830</v>
      </c>
      <c r="I82" s="70">
        <v>850</v>
      </c>
      <c r="J82" s="70">
        <v>0</v>
      </c>
      <c r="K82" s="3000">
        <f t="shared" si="5"/>
        <v>20680</v>
      </c>
      <c r="L82" s="70">
        <v>0</v>
      </c>
      <c r="M82" s="70">
        <v>0</v>
      </c>
      <c r="N82" s="70">
        <v>0</v>
      </c>
      <c r="O82" s="3000">
        <f t="shared" si="6"/>
        <v>0</v>
      </c>
      <c r="P82" s="70">
        <v>850</v>
      </c>
      <c r="Q82" s="70">
        <v>0</v>
      </c>
      <c r="R82" s="70">
        <v>0</v>
      </c>
      <c r="S82" s="3000">
        <f t="shared" si="7"/>
        <v>850</v>
      </c>
      <c r="T82" s="70" t="s">
        <v>1241</v>
      </c>
      <c r="U82" s="70" t="s">
        <v>900</v>
      </c>
      <c r="V82" s="2921">
        <v>2</v>
      </c>
      <c r="W82" s="2921">
        <v>6</v>
      </c>
      <c r="X82" s="2921">
        <v>16</v>
      </c>
      <c r="Y82" s="70">
        <v>3470</v>
      </c>
      <c r="Z82" s="70">
        <v>20680</v>
      </c>
      <c r="AA82" s="70">
        <v>0</v>
      </c>
      <c r="AB82" s="70">
        <v>850</v>
      </c>
      <c r="AC82" s="70">
        <v>25000</v>
      </c>
      <c r="AD82" s="70">
        <v>0</v>
      </c>
    </row>
    <row r="83" spans="1:30">
      <c r="A83" s="2891">
        <v>76</v>
      </c>
      <c r="B83" s="70" t="s">
        <v>913</v>
      </c>
      <c r="C83" s="70">
        <v>0</v>
      </c>
      <c r="G83" s="3000">
        <f t="shared" si="4"/>
        <v>0</v>
      </c>
      <c r="K83" s="3000">
        <f t="shared" si="5"/>
        <v>0</v>
      </c>
      <c r="O83" s="3000">
        <f t="shared" si="6"/>
        <v>0</v>
      </c>
      <c r="S83" s="3000">
        <f t="shared" si="7"/>
        <v>0</v>
      </c>
      <c r="T83" s="70" t="s">
        <v>915</v>
      </c>
      <c r="U83" s="70" t="s">
        <v>914</v>
      </c>
      <c r="V83" s="2921">
        <v>2</v>
      </c>
      <c r="W83" s="2921">
        <v>6</v>
      </c>
      <c r="X83" s="2921">
        <v>16</v>
      </c>
      <c r="Y83" s="70">
        <v>0</v>
      </c>
      <c r="Z83" s="70">
        <v>0</v>
      </c>
      <c r="AA83" s="70">
        <v>0</v>
      </c>
      <c r="AB83" s="70">
        <v>0</v>
      </c>
      <c r="AC83" s="70">
        <v>0</v>
      </c>
      <c r="AD83" s="70">
        <v>0</v>
      </c>
    </row>
    <row r="84" spans="1:30">
      <c r="A84" s="2930">
        <v>77</v>
      </c>
      <c r="B84" s="70" t="s">
        <v>921</v>
      </c>
      <c r="C84" s="70">
        <v>52200</v>
      </c>
      <c r="D84" s="70">
        <v>0</v>
      </c>
      <c r="E84" s="70">
        <v>0</v>
      </c>
      <c r="F84" s="70">
        <v>0</v>
      </c>
      <c r="G84" s="3000">
        <f t="shared" si="4"/>
        <v>0</v>
      </c>
      <c r="H84" s="70">
        <v>0</v>
      </c>
      <c r="I84" s="70">
        <v>0</v>
      </c>
      <c r="J84" s="70">
        <v>52200</v>
      </c>
      <c r="K84" s="3000">
        <f t="shared" si="5"/>
        <v>52200</v>
      </c>
      <c r="L84" s="70">
        <v>0</v>
      </c>
      <c r="M84" s="70">
        <v>0</v>
      </c>
      <c r="N84" s="70">
        <v>0</v>
      </c>
      <c r="O84" s="3000">
        <f t="shared" si="6"/>
        <v>0</v>
      </c>
      <c r="P84" s="70">
        <v>0</v>
      </c>
      <c r="Q84" s="70">
        <v>0</v>
      </c>
      <c r="R84" s="70">
        <v>0</v>
      </c>
      <c r="S84" s="3000">
        <f t="shared" si="7"/>
        <v>0</v>
      </c>
      <c r="T84" s="70" t="s">
        <v>1241</v>
      </c>
      <c r="U84" s="70" t="s">
        <v>853</v>
      </c>
      <c r="V84" s="2921">
        <v>1</v>
      </c>
      <c r="W84" s="2921">
        <v>1</v>
      </c>
      <c r="X84" s="2921">
        <v>1</v>
      </c>
      <c r="Y84" s="70">
        <v>0</v>
      </c>
      <c r="Z84" s="70">
        <v>52200</v>
      </c>
      <c r="AA84" s="70">
        <v>0</v>
      </c>
      <c r="AB84" s="70">
        <v>0</v>
      </c>
      <c r="AC84" s="70">
        <v>52200</v>
      </c>
      <c r="AD84" s="70">
        <v>0</v>
      </c>
    </row>
    <row r="85" spans="1:30">
      <c r="A85" s="2891">
        <v>78</v>
      </c>
      <c r="B85" s="70" t="s">
        <v>930</v>
      </c>
      <c r="C85" s="70">
        <v>24000</v>
      </c>
      <c r="F85" s="70">
        <v>24000</v>
      </c>
      <c r="G85" s="3000">
        <f t="shared" si="4"/>
        <v>24000</v>
      </c>
      <c r="K85" s="3000">
        <f t="shared" si="5"/>
        <v>0</v>
      </c>
      <c r="O85" s="3000">
        <f t="shared" si="6"/>
        <v>0</v>
      </c>
      <c r="S85" s="3000">
        <f t="shared" si="7"/>
        <v>0</v>
      </c>
      <c r="T85" s="70" t="s">
        <v>1241</v>
      </c>
      <c r="U85" s="70" t="s">
        <v>853</v>
      </c>
      <c r="V85" s="2921">
        <v>2</v>
      </c>
      <c r="W85" s="2921">
        <v>6</v>
      </c>
      <c r="X85" s="2921">
        <v>16</v>
      </c>
      <c r="Y85" s="70">
        <v>24000</v>
      </c>
      <c r="Z85" s="70">
        <v>0</v>
      </c>
      <c r="AA85" s="70">
        <v>0</v>
      </c>
      <c r="AB85" s="70">
        <v>0</v>
      </c>
      <c r="AC85" s="70">
        <v>24000</v>
      </c>
      <c r="AD85" s="70">
        <v>0</v>
      </c>
    </row>
    <row r="86" spans="1:30">
      <c r="A86" s="2930">
        <v>79</v>
      </c>
      <c r="B86" s="70" t="s">
        <v>937</v>
      </c>
      <c r="C86" s="70">
        <v>13200</v>
      </c>
      <c r="D86" s="70">
        <v>0</v>
      </c>
      <c r="E86" s="70">
        <v>0</v>
      </c>
      <c r="F86" s="70">
        <v>0</v>
      </c>
      <c r="G86" s="3000">
        <f t="shared" si="4"/>
        <v>0</v>
      </c>
      <c r="H86" s="70">
        <v>13200</v>
      </c>
      <c r="I86" s="70">
        <v>0</v>
      </c>
      <c r="J86" s="70">
        <v>0</v>
      </c>
      <c r="K86" s="3000">
        <f t="shared" si="5"/>
        <v>13200</v>
      </c>
      <c r="L86" s="70">
        <v>0</v>
      </c>
      <c r="M86" s="70">
        <v>0</v>
      </c>
      <c r="N86" s="70">
        <v>0</v>
      </c>
      <c r="O86" s="3000">
        <f t="shared" si="6"/>
        <v>0</v>
      </c>
      <c r="P86" s="70">
        <v>0</v>
      </c>
      <c r="Q86" s="70">
        <v>0</v>
      </c>
      <c r="R86" s="70">
        <v>0</v>
      </c>
      <c r="S86" s="3000">
        <f t="shared" si="7"/>
        <v>0</v>
      </c>
      <c r="T86" s="70" t="s">
        <v>1241</v>
      </c>
      <c r="U86" s="70" t="s">
        <v>853</v>
      </c>
      <c r="V86" s="2921">
        <v>1</v>
      </c>
      <c r="W86" s="2921">
        <v>1</v>
      </c>
      <c r="X86" s="2921">
        <v>1</v>
      </c>
      <c r="Y86" s="70">
        <v>0</v>
      </c>
      <c r="Z86" s="70">
        <v>13200</v>
      </c>
      <c r="AA86" s="70">
        <v>0</v>
      </c>
      <c r="AB86" s="70">
        <v>0</v>
      </c>
      <c r="AC86" s="70">
        <v>13200</v>
      </c>
      <c r="AD86" s="70">
        <v>0</v>
      </c>
    </row>
    <row r="87" spans="1:30">
      <c r="A87" s="2891">
        <v>80</v>
      </c>
      <c r="B87" s="70" t="s">
        <v>942</v>
      </c>
      <c r="C87" s="70">
        <v>1871700</v>
      </c>
      <c r="D87" s="70">
        <v>0</v>
      </c>
      <c r="E87" s="70">
        <v>0</v>
      </c>
      <c r="F87" s="70">
        <v>0</v>
      </c>
      <c r="G87" s="3000">
        <f t="shared" si="4"/>
        <v>0</v>
      </c>
      <c r="H87" s="70">
        <v>1617000</v>
      </c>
      <c r="I87" s="70">
        <v>0</v>
      </c>
      <c r="J87" s="70">
        <v>132000</v>
      </c>
      <c r="K87" s="3000">
        <f t="shared" si="5"/>
        <v>1749000</v>
      </c>
      <c r="L87" s="70">
        <v>122700</v>
      </c>
      <c r="M87" s="70">
        <v>0</v>
      </c>
      <c r="N87" s="70">
        <v>0</v>
      </c>
      <c r="O87" s="3000">
        <f t="shared" si="6"/>
        <v>122700</v>
      </c>
      <c r="P87" s="70">
        <v>0</v>
      </c>
      <c r="Q87" s="70">
        <v>0</v>
      </c>
      <c r="R87" s="70">
        <v>0</v>
      </c>
      <c r="S87" s="3000">
        <f t="shared" si="7"/>
        <v>0</v>
      </c>
      <c r="T87" s="70" t="s">
        <v>1241</v>
      </c>
      <c r="U87" s="70" t="s">
        <v>580</v>
      </c>
      <c r="V87" s="2921">
        <v>1</v>
      </c>
      <c r="W87" s="2921">
        <v>1</v>
      </c>
      <c r="X87" s="2921">
        <v>1</v>
      </c>
      <c r="Y87" s="70">
        <v>0</v>
      </c>
      <c r="Z87" s="70">
        <v>1749000</v>
      </c>
      <c r="AA87" s="70">
        <v>122700</v>
      </c>
      <c r="AB87" s="70">
        <v>0</v>
      </c>
      <c r="AC87" s="70">
        <v>1871700</v>
      </c>
      <c r="AD87" s="70">
        <v>0</v>
      </c>
    </row>
    <row r="88" spans="1:30">
      <c r="A88" s="2930">
        <v>81</v>
      </c>
      <c r="B88" s="70" t="s">
        <v>943</v>
      </c>
      <c r="C88" s="70" t="s">
        <v>945</v>
      </c>
      <c r="G88" s="3000">
        <f t="shared" si="4"/>
        <v>0</v>
      </c>
      <c r="K88" s="3000">
        <f t="shared" si="5"/>
        <v>0</v>
      </c>
      <c r="O88" s="3000">
        <f t="shared" si="6"/>
        <v>0</v>
      </c>
      <c r="S88" s="3000">
        <f t="shared" si="7"/>
        <v>0</v>
      </c>
      <c r="T88" s="70" t="s">
        <v>1241</v>
      </c>
      <c r="U88" s="70" t="s">
        <v>280</v>
      </c>
      <c r="V88" s="2921">
        <v>2</v>
      </c>
      <c r="W88" s="2921">
        <v>6</v>
      </c>
      <c r="X88" s="2921">
        <v>16</v>
      </c>
      <c r="Y88" s="70">
        <v>0</v>
      </c>
      <c r="Z88" s="70">
        <v>0</v>
      </c>
      <c r="AA88" s="70">
        <v>0</v>
      </c>
      <c r="AB88" s="70">
        <v>0</v>
      </c>
      <c r="AC88" s="70">
        <v>0</v>
      </c>
      <c r="AD88" s="70" t="e">
        <v>#VALUE!</v>
      </c>
    </row>
    <row r="89" spans="1:30">
      <c r="A89" s="2891">
        <v>82</v>
      </c>
      <c r="B89" s="70" t="s">
        <v>946</v>
      </c>
      <c r="C89" s="70" t="s">
        <v>947</v>
      </c>
      <c r="G89" s="3000">
        <f t="shared" si="4"/>
        <v>0</v>
      </c>
      <c r="K89" s="3000">
        <f t="shared" si="5"/>
        <v>0</v>
      </c>
      <c r="O89" s="3000">
        <f t="shared" si="6"/>
        <v>0</v>
      </c>
      <c r="S89" s="3000">
        <f t="shared" si="7"/>
        <v>0</v>
      </c>
      <c r="T89" s="70" t="s">
        <v>1241</v>
      </c>
      <c r="U89" s="70" t="s">
        <v>948</v>
      </c>
      <c r="V89" s="2921">
        <v>2</v>
      </c>
      <c r="W89" s="2921">
        <v>6</v>
      </c>
      <c r="X89" s="2921">
        <v>16</v>
      </c>
      <c r="Y89" s="70">
        <v>0</v>
      </c>
      <c r="Z89" s="70">
        <v>0</v>
      </c>
      <c r="AA89" s="70">
        <v>0</v>
      </c>
      <c r="AB89" s="70">
        <v>0</v>
      </c>
      <c r="AC89" s="70">
        <v>0</v>
      </c>
      <c r="AD89" s="70" t="e">
        <v>#VALUE!</v>
      </c>
    </row>
    <row r="90" spans="1:30">
      <c r="A90" s="2930">
        <v>83</v>
      </c>
      <c r="B90" s="70" t="s">
        <v>953</v>
      </c>
      <c r="C90" s="70">
        <v>10080</v>
      </c>
      <c r="D90" s="70">
        <v>0</v>
      </c>
      <c r="E90" s="70">
        <v>0</v>
      </c>
      <c r="F90" s="70">
        <v>7200</v>
      </c>
      <c r="G90" s="3000">
        <f t="shared" si="4"/>
        <v>7200</v>
      </c>
      <c r="I90" s="70">
        <v>0</v>
      </c>
      <c r="J90" s="70">
        <v>0</v>
      </c>
      <c r="K90" s="3000">
        <f t="shared" si="5"/>
        <v>0</v>
      </c>
      <c r="L90" s="70">
        <v>0</v>
      </c>
      <c r="M90" s="70">
        <v>0</v>
      </c>
      <c r="N90" s="70">
        <v>2880</v>
      </c>
      <c r="O90" s="3000">
        <f t="shared" si="6"/>
        <v>2880</v>
      </c>
      <c r="P90" s="70">
        <v>0</v>
      </c>
      <c r="Q90" s="70">
        <v>0</v>
      </c>
      <c r="R90" s="70">
        <v>0</v>
      </c>
      <c r="S90" s="3000">
        <f t="shared" si="7"/>
        <v>0</v>
      </c>
      <c r="T90" s="70" t="s">
        <v>1241</v>
      </c>
      <c r="U90" s="70" t="s">
        <v>280</v>
      </c>
      <c r="V90" s="2921">
        <v>1</v>
      </c>
      <c r="W90" s="2921">
        <v>1</v>
      </c>
      <c r="X90" s="2921">
        <v>1</v>
      </c>
      <c r="Y90" s="70">
        <v>7200</v>
      </c>
      <c r="Z90" s="70">
        <v>0</v>
      </c>
      <c r="AA90" s="70">
        <v>2880</v>
      </c>
      <c r="AB90" s="70">
        <v>0</v>
      </c>
      <c r="AC90" s="70">
        <v>10080</v>
      </c>
      <c r="AD90" s="70">
        <v>0</v>
      </c>
    </row>
    <row r="91" spans="1:30">
      <c r="A91" s="2891">
        <v>84</v>
      </c>
      <c r="B91" s="70" t="s">
        <v>962</v>
      </c>
      <c r="C91" s="70">
        <v>10080</v>
      </c>
      <c r="D91" s="70">
        <v>0</v>
      </c>
      <c r="E91" s="70">
        <v>0</v>
      </c>
      <c r="F91" s="70">
        <v>7200</v>
      </c>
      <c r="G91" s="3000">
        <f t="shared" si="4"/>
        <v>7200</v>
      </c>
      <c r="H91" s="70">
        <v>0</v>
      </c>
      <c r="I91" s="70">
        <v>0</v>
      </c>
      <c r="J91" s="70">
        <v>0</v>
      </c>
      <c r="K91" s="3000">
        <f t="shared" si="5"/>
        <v>0</v>
      </c>
      <c r="L91" s="70">
        <v>2880</v>
      </c>
      <c r="M91" s="70">
        <v>0</v>
      </c>
      <c r="N91" s="70">
        <v>0</v>
      </c>
      <c r="O91" s="3000">
        <f t="shared" si="6"/>
        <v>2880</v>
      </c>
      <c r="P91" s="70">
        <v>0</v>
      </c>
      <c r="Q91" s="70">
        <v>0</v>
      </c>
      <c r="R91" s="70">
        <v>0</v>
      </c>
      <c r="S91" s="3000">
        <f t="shared" si="7"/>
        <v>0</v>
      </c>
      <c r="T91" s="70" t="s">
        <v>1241</v>
      </c>
      <c r="U91" s="70" t="s">
        <v>280</v>
      </c>
      <c r="V91" s="2921">
        <v>1</v>
      </c>
      <c r="W91" s="2921">
        <v>1</v>
      </c>
      <c r="X91" s="2921">
        <v>1</v>
      </c>
      <c r="Y91" s="70">
        <v>7200</v>
      </c>
      <c r="Z91" s="70">
        <v>0</v>
      </c>
      <c r="AA91" s="70">
        <v>2880</v>
      </c>
      <c r="AB91" s="70">
        <v>0</v>
      </c>
      <c r="AC91" s="70">
        <v>10080</v>
      </c>
      <c r="AD91" s="70">
        <v>0</v>
      </c>
    </row>
    <row r="92" spans="1:30">
      <c r="A92" s="2930">
        <v>85</v>
      </c>
      <c r="B92" s="70" t="s">
        <v>969</v>
      </c>
      <c r="C92" s="70">
        <v>7200</v>
      </c>
      <c r="D92" s="70">
        <v>0</v>
      </c>
      <c r="E92" s="70">
        <v>0</v>
      </c>
      <c r="F92" s="70">
        <v>7200</v>
      </c>
      <c r="G92" s="3000">
        <f t="shared" si="4"/>
        <v>7200</v>
      </c>
      <c r="H92" s="70">
        <v>0</v>
      </c>
      <c r="I92" s="70">
        <v>0</v>
      </c>
      <c r="J92" s="70">
        <v>0</v>
      </c>
      <c r="K92" s="3000">
        <f t="shared" si="5"/>
        <v>0</v>
      </c>
      <c r="L92" s="70">
        <v>0</v>
      </c>
      <c r="M92" s="70">
        <v>0</v>
      </c>
      <c r="N92" s="70">
        <v>0</v>
      </c>
      <c r="O92" s="3000">
        <f t="shared" si="6"/>
        <v>0</v>
      </c>
      <c r="P92" s="70">
        <v>0</v>
      </c>
      <c r="Q92" s="70">
        <v>0</v>
      </c>
      <c r="R92" s="70">
        <v>0</v>
      </c>
      <c r="S92" s="3000">
        <f t="shared" si="7"/>
        <v>0</v>
      </c>
      <c r="T92" s="70" t="s">
        <v>1241</v>
      </c>
      <c r="U92" s="70" t="s">
        <v>280</v>
      </c>
      <c r="V92" s="2921">
        <v>1</v>
      </c>
      <c r="W92" s="2921">
        <v>1</v>
      </c>
      <c r="X92" s="2921">
        <v>1</v>
      </c>
      <c r="Y92" s="70">
        <v>7200</v>
      </c>
      <c r="Z92" s="70">
        <v>0</v>
      </c>
      <c r="AA92" s="70">
        <v>0</v>
      </c>
      <c r="AB92" s="70">
        <v>0</v>
      </c>
      <c r="AC92" s="70">
        <v>7200</v>
      </c>
      <c r="AD92" s="70">
        <v>0</v>
      </c>
    </row>
    <row r="93" spans="1:30">
      <c r="A93" s="2891">
        <v>86</v>
      </c>
      <c r="B93" s="70" t="s">
        <v>973</v>
      </c>
      <c r="C93" s="70">
        <v>15600</v>
      </c>
      <c r="F93" s="70">
        <v>6600</v>
      </c>
      <c r="G93" s="3000">
        <f t="shared" si="4"/>
        <v>6600</v>
      </c>
      <c r="H93" s="70">
        <v>0</v>
      </c>
      <c r="I93" s="70">
        <v>1200</v>
      </c>
      <c r="J93" s="70">
        <v>0</v>
      </c>
      <c r="K93" s="3000">
        <f t="shared" si="5"/>
        <v>1200</v>
      </c>
      <c r="L93" s="70">
        <v>0</v>
      </c>
      <c r="M93" s="70">
        <v>1200</v>
      </c>
      <c r="N93" s="70">
        <v>0</v>
      </c>
      <c r="O93" s="3000">
        <f t="shared" si="6"/>
        <v>1200</v>
      </c>
      <c r="P93" s="70">
        <v>0</v>
      </c>
      <c r="Q93" s="70">
        <v>6600</v>
      </c>
      <c r="S93" s="3000">
        <f t="shared" si="7"/>
        <v>6600</v>
      </c>
      <c r="T93" s="70" t="s">
        <v>1241</v>
      </c>
      <c r="U93" s="70" t="s">
        <v>280</v>
      </c>
      <c r="V93" s="2921">
        <v>1</v>
      </c>
      <c r="W93" s="2921">
        <v>3</v>
      </c>
      <c r="X93" s="2921">
        <v>5</v>
      </c>
      <c r="Y93" s="70">
        <v>6600</v>
      </c>
      <c r="Z93" s="70">
        <v>1200</v>
      </c>
      <c r="AA93" s="70">
        <v>1200</v>
      </c>
      <c r="AB93" s="70">
        <v>6600</v>
      </c>
      <c r="AC93" s="70">
        <v>15600</v>
      </c>
      <c r="AD93" s="70">
        <v>0</v>
      </c>
    </row>
    <row r="94" spans="1:30">
      <c r="A94" s="2930">
        <v>87</v>
      </c>
      <c r="B94" s="70" t="s">
        <v>983</v>
      </c>
      <c r="C94" s="70">
        <v>37800</v>
      </c>
      <c r="D94" s="70">
        <v>0</v>
      </c>
      <c r="E94" s="70">
        <v>0</v>
      </c>
      <c r="F94" s="70">
        <v>37800</v>
      </c>
      <c r="G94" s="3000">
        <f t="shared" si="4"/>
        <v>37800</v>
      </c>
      <c r="H94" s="70">
        <v>0</v>
      </c>
      <c r="I94" s="70">
        <v>0</v>
      </c>
      <c r="J94" s="70">
        <v>0</v>
      </c>
      <c r="K94" s="3000">
        <f t="shared" si="5"/>
        <v>0</v>
      </c>
      <c r="L94" s="70">
        <v>0</v>
      </c>
      <c r="M94" s="70">
        <v>0</v>
      </c>
      <c r="N94" s="70">
        <v>0</v>
      </c>
      <c r="O94" s="3000">
        <f t="shared" si="6"/>
        <v>0</v>
      </c>
      <c r="P94" s="70">
        <v>0</v>
      </c>
      <c r="Q94" s="70">
        <v>0</v>
      </c>
      <c r="R94" s="70">
        <v>0</v>
      </c>
      <c r="S94" s="3000">
        <f t="shared" si="7"/>
        <v>0</v>
      </c>
      <c r="T94" s="70" t="s">
        <v>1241</v>
      </c>
      <c r="U94" s="70" t="s">
        <v>280</v>
      </c>
      <c r="V94" s="2921">
        <v>1</v>
      </c>
      <c r="W94" s="2921">
        <v>3</v>
      </c>
      <c r="X94" s="2921">
        <v>5</v>
      </c>
      <c r="Y94" s="70">
        <v>37800</v>
      </c>
      <c r="Z94" s="70">
        <v>0</v>
      </c>
      <c r="AA94" s="70">
        <v>0</v>
      </c>
      <c r="AB94" s="70">
        <v>0</v>
      </c>
      <c r="AC94" s="70">
        <v>37800</v>
      </c>
      <c r="AD94" s="70">
        <v>0</v>
      </c>
    </row>
    <row r="95" spans="1:30">
      <c r="A95" s="2891">
        <v>88</v>
      </c>
      <c r="B95" s="70" t="s">
        <v>990</v>
      </c>
      <c r="C95" s="70">
        <v>21600</v>
      </c>
      <c r="E95" s="70">
        <v>7800</v>
      </c>
      <c r="F95" s="70">
        <v>0</v>
      </c>
      <c r="G95" s="3000">
        <f t="shared" si="4"/>
        <v>7800</v>
      </c>
      <c r="H95" s="70">
        <v>0</v>
      </c>
      <c r="I95" s="70">
        <v>1200</v>
      </c>
      <c r="J95" s="70">
        <v>0</v>
      </c>
      <c r="K95" s="3000">
        <f t="shared" si="5"/>
        <v>1200</v>
      </c>
      <c r="L95" s="70">
        <v>0</v>
      </c>
      <c r="M95" s="70">
        <v>1200</v>
      </c>
      <c r="N95" s="70">
        <v>3600</v>
      </c>
      <c r="O95" s="3000">
        <f t="shared" si="6"/>
        <v>4800</v>
      </c>
      <c r="P95" s="70">
        <v>7800</v>
      </c>
      <c r="Q95" s="70">
        <v>0</v>
      </c>
      <c r="R95" s="70">
        <v>0</v>
      </c>
      <c r="S95" s="3000">
        <f t="shared" si="7"/>
        <v>7800</v>
      </c>
      <c r="T95" s="70" t="s">
        <v>1241</v>
      </c>
      <c r="U95" s="70" t="s">
        <v>280</v>
      </c>
      <c r="V95" s="2921">
        <v>1</v>
      </c>
      <c r="W95" s="2921">
        <v>3</v>
      </c>
      <c r="X95" s="2921">
        <v>5</v>
      </c>
      <c r="Y95" s="70">
        <v>7800</v>
      </c>
      <c r="Z95" s="70">
        <v>1200</v>
      </c>
      <c r="AA95" s="70">
        <v>4800</v>
      </c>
      <c r="AB95" s="70">
        <v>7800</v>
      </c>
      <c r="AC95" s="70">
        <v>21600</v>
      </c>
      <c r="AD95" s="70">
        <v>0</v>
      </c>
    </row>
    <row r="96" spans="1:30">
      <c r="A96" s="2930">
        <v>89</v>
      </c>
      <c r="B96" s="70" t="s">
        <v>1000</v>
      </c>
      <c r="C96" s="70">
        <v>13200</v>
      </c>
      <c r="G96" s="3000">
        <f t="shared" si="4"/>
        <v>0</v>
      </c>
      <c r="I96" s="70">
        <v>6600</v>
      </c>
      <c r="J96" s="70">
        <v>0</v>
      </c>
      <c r="K96" s="3000">
        <f t="shared" si="5"/>
        <v>6600</v>
      </c>
      <c r="L96" s="70">
        <v>0</v>
      </c>
      <c r="M96" s="70">
        <v>0</v>
      </c>
      <c r="N96" s="70">
        <v>0</v>
      </c>
      <c r="O96" s="3000">
        <f t="shared" si="6"/>
        <v>0</v>
      </c>
      <c r="P96" s="70">
        <v>6600</v>
      </c>
      <c r="S96" s="3000">
        <f t="shared" si="7"/>
        <v>6600</v>
      </c>
      <c r="T96" s="70" t="s">
        <v>1241</v>
      </c>
      <c r="U96" s="70" t="s">
        <v>280</v>
      </c>
      <c r="V96" s="2921">
        <v>1</v>
      </c>
      <c r="W96" s="2921">
        <v>3</v>
      </c>
      <c r="X96" s="2921">
        <v>5</v>
      </c>
      <c r="Y96" s="70">
        <v>0</v>
      </c>
      <c r="Z96" s="70">
        <v>6600</v>
      </c>
      <c r="AA96" s="70">
        <v>0</v>
      </c>
      <c r="AB96" s="70">
        <v>6600</v>
      </c>
      <c r="AC96" s="70">
        <v>13200</v>
      </c>
      <c r="AD96" s="70">
        <v>0</v>
      </c>
    </row>
    <row r="97" spans="1:30">
      <c r="A97" s="2891">
        <v>90</v>
      </c>
      <c r="B97" s="70" t="s">
        <v>1006</v>
      </c>
      <c r="C97" s="70">
        <v>8400</v>
      </c>
      <c r="F97" s="70">
        <v>4200</v>
      </c>
      <c r="G97" s="3000">
        <f t="shared" si="4"/>
        <v>4200</v>
      </c>
      <c r="H97" s="70">
        <v>0</v>
      </c>
      <c r="I97" s="70">
        <v>0</v>
      </c>
      <c r="J97" s="70">
        <v>0</v>
      </c>
      <c r="K97" s="3000">
        <f t="shared" si="5"/>
        <v>0</v>
      </c>
      <c r="L97" s="70">
        <v>0</v>
      </c>
      <c r="M97" s="70">
        <v>0</v>
      </c>
      <c r="N97" s="70">
        <v>4200</v>
      </c>
      <c r="O97" s="3000">
        <f t="shared" si="6"/>
        <v>4200</v>
      </c>
      <c r="S97" s="3000">
        <f t="shared" si="7"/>
        <v>0</v>
      </c>
      <c r="T97" s="70" t="s">
        <v>1241</v>
      </c>
      <c r="U97" s="70" t="s">
        <v>280</v>
      </c>
      <c r="V97" s="2921">
        <v>1</v>
      </c>
      <c r="W97" s="2921">
        <v>3</v>
      </c>
      <c r="X97" s="2921">
        <v>5</v>
      </c>
      <c r="Y97" s="70">
        <v>4200</v>
      </c>
      <c r="Z97" s="70">
        <v>0</v>
      </c>
      <c r="AA97" s="70">
        <v>4200</v>
      </c>
      <c r="AB97" s="70">
        <v>0</v>
      </c>
      <c r="AC97" s="70">
        <v>8400</v>
      </c>
      <c r="AD97" s="70">
        <v>0</v>
      </c>
    </row>
    <row r="98" spans="1:30">
      <c r="A98" s="2930">
        <v>91</v>
      </c>
      <c r="B98" s="70" t="s">
        <v>1012</v>
      </c>
      <c r="C98" s="70">
        <v>6250</v>
      </c>
      <c r="D98" s="70">
        <v>0</v>
      </c>
      <c r="E98" s="70">
        <v>0</v>
      </c>
      <c r="F98" s="70">
        <v>0</v>
      </c>
      <c r="G98" s="3000">
        <f t="shared" si="4"/>
        <v>0</v>
      </c>
      <c r="H98" s="70">
        <v>6250</v>
      </c>
      <c r="I98" s="70">
        <v>0</v>
      </c>
      <c r="J98" s="70">
        <v>0</v>
      </c>
      <c r="K98" s="3000">
        <f t="shared" si="5"/>
        <v>6250</v>
      </c>
      <c r="L98" s="70">
        <v>0</v>
      </c>
      <c r="M98" s="70">
        <v>0</v>
      </c>
      <c r="N98" s="70">
        <v>0</v>
      </c>
      <c r="O98" s="3000">
        <f t="shared" si="6"/>
        <v>0</v>
      </c>
      <c r="P98" s="70">
        <v>0</v>
      </c>
      <c r="Q98" s="70">
        <v>0</v>
      </c>
      <c r="R98" s="70">
        <v>0</v>
      </c>
      <c r="S98" s="3000">
        <f t="shared" si="7"/>
        <v>0</v>
      </c>
      <c r="T98" s="70" t="s">
        <v>1241</v>
      </c>
      <c r="U98" s="70" t="s">
        <v>280</v>
      </c>
      <c r="V98" s="2921">
        <v>1</v>
      </c>
      <c r="W98" s="2921">
        <v>3</v>
      </c>
      <c r="X98" s="2921">
        <v>5</v>
      </c>
      <c r="Y98" s="70">
        <v>0</v>
      </c>
      <c r="Z98" s="70">
        <v>6250</v>
      </c>
      <c r="AA98" s="70">
        <v>0</v>
      </c>
      <c r="AB98" s="70">
        <v>0</v>
      </c>
      <c r="AC98" s="70">
        <v>6250</v>
      </c>
      <c r="AD98" s="70">
        <v>0</v>
      </c>
    </row>
    <row r="99" spans="1:30">
      <c r="A99" s="2891">
        <v>92</v>
      </c>
      <c r="B99" s="70" t="s">
        <v>1017</v>
      </c>
      <c r="C99" s="70">
        <v>1768000</v>
      </c>
      <c r="D99" s="70">
        <v>0</v>
      </c>
      <c r="E99" s="70">
        <v>0</v>
      </c>
      <c r="F99" s="70">
        <v>0</v>
      </c>
      <c r="G99" s="3000">
        <f t="shared" si="4"/>
        <v>0</v>
      </c>
      <c r="H99" s="70">
        <v>0</v>
      </c>
      <c r="I99" s="70">
        <v>353600</v>
      </c>
      <c r="J99" s="70">
        <v>353600</v>
      </c>
      <c r="K99" s="3000">
        <f t="shared" si="5"/>
        <v>707200</v>
      </c>
      <c r="L99" s="70">
        <v>353600</v>
      </c>
      <c r="M99" s="70">
        <v>353600</v>
      </c>
      <c r="N99" s="70">
        <v>353600</v>
      </c>
      <c r="O99" s="3000">
        <f t="shared" si="6"/>
        <v>1060800</v>
      </c>
      <c r="P99" s="70">
        <v>0</v>
      </c>
      <c r="Q99" s="70">
        <v>0</v>
      </c>
      <c r="R99" s="70">
        <v>0</v>
      </c>
      <c r="S99" s="3000">
        <f t="shared" si="7"/>
        <v>0</v>
      </c>
      <c r="T99" s="70" t="s">
        <v>1241</v>
      </c>
      <c r="U99" s="70" t="s">
        <v>591</v>
      </c>
      <c r="V99" s="2921">
        <v>1</v>
      </c>
      <c r="W99" s="2921">
        <v>1</v>
      </c>
      <c r="X99" s="2921">
        <v>1</v>
      </c>
      <c r="Y99" s="70">
        <v>0</v>
      </c>
      <c r="Z99" s="70">
        <v>707200</v>
      </c>
      <c r="AA99" s="70">
        <v>1060800</v>
      </c>
      <c r="AB99" s="70">
        <v>0</v>
      </c>
      <c r="AC99" s="70">
        <v>1768000</v>
      </c>
      <c r="AD99" s="70">
        <v>0</v>
      </c>
    </row>
    <row r="100" spans="1:30">
      <c r="A100" s="2930">
        <v>93</v>
      </c>
      <c r="B100" s="70" t="s">
        <v>1024</v>
      </c>
      <c r="C100" s="70">
        <v>239600</v>
      </c>
      <c r="F100" s="70">
        <v>206000</v>
      </c>
      <c r="G100" s="3000">
        <f t="shared" si="4"/>
        <v>206000</v>
      </c>
      <c r="H100" s="70">
        <v>0</v>
      </c>
      <c r="I100" s="70">
        <v>0</v>
      </c>
      <c r="J100" s="70">
        <v>0</v>
      </c>
      <c r="K100" s="3000">
        <f t="shared" si="5"/>
        <v>0</v>
      </c>
      <c r="L100" s="70">
        <v>0</v>
      </c>
      <c r="M100" s="70">
        <v>0</v>
      </c>
      <c r="N100" s="70">
        <v>33600</v>
      </c>
      <c r="O100" s="3000">
        <f t="shared" si="6"/>
        <v>33600</v>
      </c>
      <c r="P100" s="70">
        <v>0</v>
      </c>
      <c r="S100" s="3000">
        <f t="shared" si="7"/>
        <v>0</v>
      </c>
      <c r="T100" s="70" t="s">
        <v>1241</v>
      </c>
      <c r="U100" s="70" t="s">
        <v>1048</v>
      </c>
      <c r="V100" s="2921">
        <v>1</v>
      </c>
      <c r="W100" s="2921">
        <v>1</v>
      </c>
      <c r="X100" s="2921">
        <v>1</v>
      </c>
      <c r="Y100" s="70">
        <v>206000</v>
      </c>
      <c r="Z100" s="70">
        <v>0</v>
      </c>
      <c r="AA100" s="70">
        <v>33600</v>
      </c>
      <c r="AB100" s="70">
        <v>0</v>
      </c>
      <c r="AC100" s="70">
        <v>239600</v>
      </c>
      <c r="AD100" s="70">
        <v>0</v>
      </c>
    </row>
    <row r="101" spans="1:30">
      <c r="A101" s="2891">
        <v>94</v>
      </c>
      <c r="B101" s="70" t="s">
        <v>1037</v>
      </c>
      <c r="C101" s="70">
        <v>50400</v>
      </c>
      <c r="D101" s="70">
        <v>0</v>
      </c>
      <c r="E101" s="70">
        <v>0</v>
      </c>
      <c r="F101" s="70">
        <v>0</v>
      </c>
      <c r="G101" s="3000">
        <f t="shared" si="4"/>
        <v>0</v>
      </c>
      <c r="H101" s="70">
        <v>0</v>
      </c>
      <c r="I101" s="70">
        <v>0</v>
      </c>
      <c r="J101" s="70">
        <v>0</v>
      </c>
      <c r="K101" s="3000">
        <f t="shared" si="5"/>
        <v>0</v>
      </c>
      <c r="L101" s="70">
        <v>0</v>
      </c>
      <c r="M101" s="70">
        <v>50400</v>
      </c>
      <c r="N101" s="70">
        <v>0</v>
      </c>
      <c r="O101" s="3000">
        <f t="shared" si="6"/>
        <v>50400</v>
      </c>
      <c r="P101" s="70">
        <v>0</v>
      </c>
      <c r="Q101" s="70">
        <v>0</v>
      </c>
      <c r="R101" s="70">
        <v>0</v>
      </c>
      <c r="S101" s="3000">
        <f t="shared" si="7"/>
        <v>0</v>
      </c>
      <c r="T101" s="70" t="s">
        <v>1241</v>
      </c>
      <c r="U101" s="70" t="s">
        <v>870</v>
      </c>
      <c r="V101" s="2921">
        <v>1</v>
      </c>
      <c r="W101" s="2921">
        <v>1</v>
      </c>
      <c r="X101" s="2921">
        <v>1</v>
      </c>
      <c r="Y101" s="70">
        <v>0</v>
      </c>
      <c r="Z101" s="70">
        <v>0</v>
      </c>
      <c r="AA101" s="70">
        <v>50400</v>
      </c>
      <c r="AB101" s="70">
        <v>0</v>
      </c>
      <c r="AC101" s="70">
        <v>50400</v>
      </c>
      <c r="AD101" s="70">
        <v>0</v>
      </c>
    </row>
    <row r="102" spans="1:30">
      <c r="A102" s="2930">
        <v>95</v>
      </c>
      <c r="B102" s="70" t="s">
        <v>1046</v>
      </c>
      <c r="C102" s="70">
        <v>18000</v>
      </c>
      <c r="E102" s="70">
        <v>0</v>
      </c>
      <c r="F102" s="70">
        <v>8400</v>
      </c>
      <c r="G102" s="3000">
        <f t="shared" si="4"/>
        <v>8400</v>
      </c>
      <c r="H102" s="70">
        <v>1200</v>
      </c>
      <c r="I102" s="70">
        <v>0</v>
      </c>
      <c r="J102" s="70">
        <v>0</v>
      </c>
      <c r="K102" s="3000">
        <f t="shared" si="5"/>
        <v>1200</v>
      </c>
      <c r="L102" s="70">
        <v>0</v>
      </c>
      <c r="M102" s="70">
        <v>0</v>
      </c>
      <c r="N102" s="70">
        <v>1200</v>
      </c>
      <c r="O102" s="3000">
        <f t="shared" si="6"/>
        <v>1200</v>
      </c>
      <c r="P102" s="70">
        <v>0</v>
      </c>
      <c r="Q102" s="70">
        <v>0</v>
      </c>
      <c r="R102" s="70">
        <v>7200</v>
      </c>
      <c r="S102" s="3000">
        <f t="shared" si="7"/>
        <v>7200</v>
      </c>
      <c r="T102" s="70" t="s">
        <v>1241</v>
      </c>
      <c r="U102" s="70" t="s">
        <v>1048</v>
      </c>
      <c r="V102" s="2921">
        <v>2</v>
      </c>
      <c r="W102" s="2921">
        <v>6</v>
      </c>
      <c r="X102" s="2921">
        <v>14</v>
      </c>
      <c r="Y102" s="70">
        <v>8400</v>
      </c>
      <c r="Z102" s="70">
        <v>1200</v>
      </c>
      <c r="AA102" s="70">
        <v>1200</v>
      </c>
      <c r="AB102" s="70">
        <v>7200</v>
      </c>
      <c r="AC102" s="70">
        <v>18000</v>
      </c>
      <c r="AD102" s="70">
        <v>0</v>
      </c>
    </row>
    <row r="103" spans="1:30">
      <c r="A103" s="2891">
        <v>96</v>
      </c>
      <c r="B103" s="70" t="s">
        <v>1060</v>
      </c>
      <c r="C103" s="70">
        <v>61080</v>
      </c>
      <c r="D103" s="70">
        <v>0</v>
      </c>
      <c r="E103" s="70">
        <v>19080</v>
      </c>
      <c r="F103" s="70">
        <v>0</v>
      </c>
      <c r="G103" s="3000">
        <f t="shared" si="4"/>
        <v>19080</v>
      </c>
      <c r="H103" s="70">
        <v>0</v>
      </c>
      <c r="I103" s="70">
        <v>0</v>
      </c>
      <c r="J103" s="70">
        <v>42000</v>
      </c>
      <c r="K103" s="3000">
        <f t="shared" si="5"/>
        <v>42000</v>
      </c>
      <c r="L103" s="70">
        <v>0</v>
      </c>
      <c r="M103" s="70">
        <v>0</v>
      </c>
      <c r="N103" s="70">
        <v>0</v>
      </c>
      <c r="O103" s="3000">
        <f t="shared" si="6"/>
        <v>0</v>
      </c>
      <c r="P103" s="70">
        <v>0</v>
      </c>
      <c r="Q103" s="70">
        <v>0</v>
      </c>
      <c r="R103" s="70">
        <v>0</v>
      </c>
      <c r="S103" s="3000">
        <f t="shared" si="7"/>
        <v>0</v>
      </c>
      <c r="T103" s="70" t="s">
        <v>1241</v>
      </c>
      <c r="U103" s="70" t="s">
        <v>1048</v>
      </c>
      <c r="V103" s="2921">
        <v>2</v>
      </c>
      <c r="W103" s="2921">
        <v>6</v>
      </c>
      <c r="X103" s="2921">
        <v>14</v>
      </c>
      <c r="Y103" s="70">
        <v>19080</v>
      </c>
      <c r="Z103" s="70">
        <v>42000</v>
      </c>
      <c r="AA103" s="70">
        <v>0</v>
      </c>
      <c r="AB103" s="70">
        <v>0</v>
      </c>
      <c r="AC103" s="70">
        <v>61080</v>
      </c>
      <c r="AD103" s="70">
        <v>0</v>
      </c>
    </row>
    <row r="104" spans="1:30">
      <c r="A104" s="2930">
        <v>97</v>
      </c>
      <c r="B104" s="70" t="s">
        <v>1071</v>
      </c>
      <c r="C104" s="70">
        <v>3600</v>
      </c>
      <c r="D104" s="70">
        <v>0</v>
      </c>
      <c r="E104" s="70">
        <v>0</v>
      </c>
      <c r="F104" s="70">
        <v>0</v>
      </c>
      <c r="G104" s="3000">
        <f t="shared" si="4"/>
        <v>0</v>
      </c>
      <c r="H104" s="70">
        <v>0</v>
      </c>
      <c r="I104" s="70">
        <v>0</v>
      </c>
      <c r="J104" s="70">
        <v>0</v>
      </c>
      <c r="K104" s="3000">
        <f t="shared" si="5"/>
        <v>0</v>
      </c>
      <c r="L104" s="70">
        <v>2880</v>
      </c>
      <c r="M104" s="70">
        <v>720</v>
      </c>
      <c r="N104" s="70">
        <v>0</v>
      </c>
      <c r="O104" s="3000">
        <f t="shared" si="6"/>
        <v>3600</v>
      </c>
      <c r="P104" s="70">
        <v>0</v>
      </c>
      <c r="Q104" s="70">
        <v>0</v>
      </c>
      <c r="R104" s="70">
        <v>0</v>
      </c>
      <c r="S104" s="3000">
        <f t="shared" si="7"/>
        <v>0</v>
      </c>
      <c r="T104" s="70" t="s">
        <v>1241</v>
      </c>
      <c r="U104" s="70" t="s">
        <v>1048</v>
      </c>
      <c r="V104" s="2921">
        <v>2</v>
      </c>
      <c r="W104" s="2921">
        <v>6</v>
      </c>
      <c r="X104" s="2921">
        <v>14</v>
      </c>
      <c r="Y104" s="70">
        <v>0</v>
      </c>
      <c r="Z104" s="70">
        <v>0</v>
      </c>
      <c r="AA104" s="70">
        <v>3600</v>
      </c>
      <c r="AB104" s="70">
        <v>0</v>
      </c>
      <c r="AC104" s="70">
        <v>3600</v>
      </c>
      <c r="AD104" s="70">
        <v>0</v>
      </c>
    </row>
    <row r="105" spans="1:30">
      <c r="A105" s="2891">
        <v>98</v>
      </c>
      <c r="B105" s="70" t="s">
        <v>1078</v>
      </c>
      <c r="C105" s="70">
        <v>31000</v>
      </c>
      <c r="D105" s="70">
        <v>0</v>
      </c>
      <c r="E105" s="70">
        <v>0</v>
      </c>
      <c r="F105" s="70">
        <v>0</v>
      </c>
      <c r="G105" s="3000">
        <f t="shared" si="4"/>
        <v>0</v>
      </c>
      <c r="H105" s="70">
        <v>0</v>
      </c>
      <c r="I105" s="70">
        <v>31000</v>
      </c>
      <c r="J105" s="70">
        <v>0</v>
      </c>
      <c r="K105" s="3000">
        <f t="shared" si="5"/>
        <v>31000</v>
      </c>
      <c r="L105" s="70">
        <v>0</v>
      </c>
      <c r="M105" s="70">
        <v>0</v>
      </c>
      <c r="N105" s="70">
        <v>0</v>
      </c>
      <c r="O105" s="3000">
        <f t="shared" si="6"/>
        <v>0</v>
      </c>
      <c r="P105" s="70">
        <v>0</v>
      </c>
      <c r="Q105" s="70">
        <v>0</v>
      </c>
      <c r="R105" s="70">
        <v>0</v>
      </c>
      <c r="S105" s="3000">
        <f t="shared" si="7"/>
        <v>0</v>
      </c>
      <c r="T105" s="70" t="s">
        <v>1241</v>
      </c>
      <c r="U105" s="70" t="s">
        <v>1048</v>
      </c>
      <c r="V105" s="2921">
        <v>2</v>
      </c>
      <c r="W105" s="2921">
        <v>6</v>
      </c>
      <c r="X105" s="2921">
        <v>14</v>
      </c>
      <c r="Y105" s="70">
        <v>0</v>
      </c>
      <c r="Z105" s="70">
        <v>31000</v>
      </c>
      <c r="AA105" s="70">
        <v>0</v>
      </c>
      <c r="AB105" s="70">
        <v>0</v>
      </c>
      <c r="AC105" s="70">
        <v>31000</v>
      </c>
      <c r="AD105" s="70">
        <v>0</v>
      </c>
    </row>
    <row r="106" spans="1:30">
      <c r="A106" s="2930">
        <v>99</v>
      </c>
      <c r="B106" s="70" t="s">
        <v>1085</v>
      </c>
      <c r="C106" s="70">
        <v>3688400</v>
      </c>
      <c r="D106" s="70">
        <v>0</v>
      </c>
      <c r="E106" s="70">
        <v>0</v>
      </c>
      <c r="F106" s="70">
        <v>0</v>
      </c>
      <c r="G106" s="3000">
        <f t="shared" si="4"/>
        <v>0</v>
      </c>
      <c r="H106" s="70">
        <v>2188400</v>
      </c>
      <c r="I106" s="70">
        <v>0</v>
      </c>
      <c r="J106" s="70">
        <v>0</v>
      </c>
      <c r="K106" s="3000">
        <f t="shared" si="5"/>
        <v>2188400</v>
      </c>
      <c r="L106" s="70">
        <v>0</v>
      </c>
      <c r="M106" s="70">
        <v>1000000</v>
      </c>
      <c r="N106" s="70">
        <v>0</v>
      </c>
      <c r="O106" s="3000">
        <f t="shared" si="6"/>
        <v>1000000</v>
      </c>
      <c r="P106" s="70">
        <v>500000</v>
      </c>
      <c r="Q106" s="70">
        <v>0</v>
      </c>
      <c r="R106" s="70">
        <v>0</v>
      </c>
      <c r="S106" s="3000">
        <f t="shared" si="7"/>
        <v>500000</v>
      </c>
      <c r="T106" s="70" t="s">
        <v>1241</v>
      </c>
      <c r="U106" s="70" t="s">
        <v>1048</v>
      </c>
      <c r="V106" s="2921">
        <v>2</v>
      </c>
      <c r="W106" s="2921">
        <v>6</v>
      </c>
      <c r="X106" s="2921">
        <v>14</v>
      </c>
      <c r="Y106" s="70">
        <v>0</v>
      </c>
      <c r="Z106" s="70">
        <v>2188400</v>
      </c>
      <c r="AA106" s="70">
        <v>1000000</v>
      </c>
      <c r="AB106" s="70">
        <v>500000</v>
      </c>
      <c r="AC106" s="70">
        <v>3688400</v>
      </c>
      <c r="AD106" s="70">
        <v>0</v>
      </c>
    </row>
    <row r="107" spans="1:30">
      <c r="A107" s="2891">
        <v>100</v>
      </c>
      <c r="B107" s="70" t="s">
        <v>1089</v>
      </c>
      <c r="C107" s="70">
        <v>469000</v>
      </c>
      <c r="D107" s="70">
        <v>0</v>
      </c>
      <c r="E107" s="70">
        <v>0</v>
      </c>
      <c r="F107" s="70">
        <v>0</v>
      </c>
      <c r="G107" s="3000">
        <f t="shared" si="4"/>
        <v>0</v>
      </c>
      <c r="H107" s="70">
        <v>169000</v>
      </c>
      <c r="I107" s="70">
        <v>0</v>
      </c>
      <c r="J107" s="70">
        <v>0</v>
      </c>
      <c r="K107" s="3000">
        <f t="shared" si="5"/>
        <v>169000</v>
      </c>
      <c r="L107" s="70">
        <v>0</v>
      </c>
      <c r="M107" s="70">
        <v>150000</v>
      </c>
      <c r="N107" s="70">
        <v>0</v>
      </c>
      <c r="O107" s="3000">
        <f t="shared" si="6"/>
        <v>150000</v>
      </c>
      <c r="P107" s="70">
        <v>150000</v>
      </c>
      <c r="Q107" s="70">
        <v>0</v>
      </c>
      <c r="R107" s="70">
        <v>0</v>
      </c>
      <c r="S107" s="3000">
        <f t="shared" si="7"/>
        <v>150000</v>
      </c>
      <c r="T107" s="70" t="s">
        <v>1241</v>
      </c>
      <c r="U107" s="70" t="s">
        <v>1048</v>
      </c>
      <c r="V107" s="2921">
        <v>2</v>
      </c>
      <c r="W107" s="2921">
        <v>6</v>
      </c>
      <c r="X107" s="2921">
        <v>14</v>
      </c>
      <c r="Y107" s="70">
        <v>0</v>
      </c>
      <c r="Z107" s="70">
        <v>169000</v>
      </c>
      <c r="AA107" s="70">
        <v>150000</v>
      </c>
      <c r="AB107" s="70">
        <v>150000</v>
      </c>
      <c r="AC107" s="70">
        <v>469000</v>
      </c>
      <c r="AD107" s="70">
        <v>0</v>
      </c>
    </row>
    <row r="108" spans="1:30">
      <c r="A108" s="2930">
        <v>101</v>
      </c>
      <c r="B108" s="70" t="s">
        <v>1093</v>
      </c>
      <c r="C108" s="70">
        <v>129200</v>
      </c>
      <c r="D108" s="70">
        <v>0</v>
      </c>
      <c r="E108" s="70">
        <v>0</v>
      </c>
      <c r="F108" s="70">
        <v>0</v>
      </c>
      <c r="G108" s="3000">
        <f t="shared" si="4"/>
        <v>0</v>
      </c>
      <c r="H108" s="70">
        <v>129200</v>
      </c>
      <c r="I108" s="70">
        <v>0</v>
      </c>
      <c r="J108" s="70">
        <v>0</v>
      </c>
      <c r="K108" s="3000">
        <f t="shared" si="5"/>
        <v>129200</v>
      </c>
      <c r="L108" s="70">
        <v>0</v>
      </c>
      <c r="M108" s="70">
        <v>0</v>
      </c>
      <c r="N108" s="70">
        <v>0</v>
      </c>
      <c r="O108" s="3000">
        <f t="shared" si="6"/>
        <v>0</v>
      </c>
      <c r="P108" s="70">
        <v>0</v>
      </c>
      <c r="Q108" s="70">
        <v>0</v>
      </c>
      <c r="R108" s="70">
        <v>0</v>
      </c>
      <c r="S108" s="3000">
        <f t="shared" si="7"/>
        <v>0</v>
      </c>
      <c r="T108" s="70" t="s">
        <v>1241</v>
      </c>
      <c r="U108" s="70" t="s">
        <v>1048</v>
      </c>
      <c r="V108" s="2921">
        <v>2</v>
      </c>
      <c r="W108" s="2921">
        <v>6</v>
      </c>
      <c r="X108" s="2921">
        <v>14</v>
      </c>
      <c r="Y108" s="70">
        <v>0</v>
      </c>
      <c r="Z108" s="70">
        <v>129200</v>
      </c>
      <c r="AA108" s="70">
        <v>0</v>
      </c>
      <c r="AB108" s="70">
        <v>0</v>
      </c>
      <c r="AC108" s="70">
        <v>129200</v>
      </c>
      <c r="AD108" s="70">
        <v>0</v>
      </c>
    </row>
    <row r="109" spans="1:30">
      <c r="A109" s="2891">
        <v>102</v>
      </c>
      <c r="B109" s="70" t="s">
        <v>1098</v>
      </c>
      <c r="C109" s="70">
        <v>436755</v>
      </c>
      <c r="D109" s="70">
        <v>0</v>
      </c>
      <c r="E109" s="70">
        <v>0</v>
      </c>
      <c r="F109" s="70">
        <v>0</v>
      </c>
      <c r="G109" s="3000">
        <f t="shared" si="4"/>
        <v>0</v>
      </c>
      <c r="H109" s="70">
        <v>4275</v>
      </c>
      <c r="I109" s="70">
        <v>36120</v>
      </c>
      <c r="J109" s="70">
        <v>396360</v>
      </c>
      <c r="K109" s="3000">
        <f t="shared" si="5"/>
        <v>436755</v>
      </c>
      <c r="L109" s="70">
        <v>0</v>
      </c>
      <c r="M109" s="70">
        <v>0</v>
      </c>
      <c r="N109" s="70">
        <v>0</v>
      </c>
      <c r="O109" s="3000">
        <f t="shared" si="6"/>
        <v>0</v>
      </c>
      <c r="P109" s="70">
        <v>0</v>
      </c>
      <c r="Q109" s="70">
        <v>0</v>
      </c>
      <c r="R109" s="70">
        <v>0</v>
      </c>
      <c r="S109" s="3000">
        <f t="shared" si="7"/>
        <v>0</v>
      </c>
      <c r="T109" s="70" t="s">
        <v>1241</v>
      </c>
      <c r="U109" s="70" t="s">
        <v>1048</v>
      </c>
      <c r="V109" s="2921">
        <v>2</v>
      </c>
      <c r="W109" s="2921">
        <v>6</v>
      </c>
      <c r="X109" s="2921">
        <v>10</v>
      </c>
      <c r="Y109" s="70">
        <v>0</v>
      </c>
      <c r="Z109" s="70">
        <v>436755</v>
      </c>
      <c r="AA109" s="70">
        <v>0</v>
      </c>
      <c r="AB109" s="70">
        <v>0</v>
      </c>
      <c r="AC109" s="70">
        <v>436755</v>
      </c>
      <c r="AD109" s="70">
        <v>0</v>
      </c>
    </row>
    <row r="110" spans="1:30">
      <c r="A110" s="2930">
        <v>103</v>
      </c>
      <c r="B110" s="70" t="s">
        <v>1130</v>
      </c>
      <c r="C110" s="70">
        <v>808910</v>
      </c>
      <c r="D110" s="70">
        <v>0</v>
      </c>
      <c r="E110" s="70">
        <v>0</v>
      </c>
      <c r="F110" s="70">
        <v>0</v>
      </c>
      <c r="G110" s="3000">
        <f t="shared" si="4"/>
        <v>0</v>
      </c>
      <c r="H110" s="70">
        <v>0</v>
      </c>
      <c r="I110" s="70">
        <v>0</v>
      </c>
      <c r="J110" s="70">
        <v>0</v>
      </c>
      <c r="K110" s="3000">
        <f t="shared" si="5"/>
        <v>0</v>
      </c>
      <c r="L110" s="70">
        <v>0</v>
      </c>
      <c r="M110" s="70">
        <v>46800</v>
      </c>
      <c r="N110" s="70">
        <v>27860</v>
      </c>
      <c r="O110" s="3000">
        <f t="shared" si="6"/>
        <v>74660</v>
      </c>
      <c r="P110" s="70">
        <v>734250</v>
      </c>
      <c r="Q110" s="70">
        <v>0</v>
      </c>
      <c r="R110" s="70">
        <v>0</v>
      </c>
      <c r="S110" s="3000">
        <f t="shared" si="7"/>
        <v>734250</v>
      </c>
      <c r="T110" s="70" t="s">
        <v>1241</v>
      </c>
      <c r="U110" s="70" t="s">
        <v>1048</v>
      </c>
      <c r="V110" s="2921">
        <v>2</v>
      </c>
      <c r="W110" s="2921">
        <v>6</v>
      </c>
      <c r="X110" s="2921">
        <v>10</v>
      </c>
      <c r="Y110" s="70">
        <v>0</v>
      </c>
      <c r="Z110" s="70">
        <v>0</v>
      </c>
      <c r="AA110" s="70">
        <v>74660</v>
      </c>
      <c r="AB110" s="70">
        <v>734250</v>
      </c>
      <c r="AC110" s="70">
        <v>808910</v>
      </c>
      <c r="AD110" s="70">
        <v>0</v>
      </c>
    </row>
    <row r="111" spans="1:30">
      <c r="A111" s="2891">
        <v>104</v>
      </c>
      <c r="B111" s="70" t="s">
        <v>1183</v>
      </c>
      <c r="C111" s="70">
        <v>24360</v>
      </c>
      <c r="D111" s="70">
        <v>0</v>
      </c>
      <c r="E111" s="70">
        <v>0</v>
      </c>
      <c r="F111" s="70">
        <v>15000</v>
      </c>
      <c r="G111" s="3000">
        <f t="shared" si="4"/>
        <v>15000</v>
      </c>
      <c r="H111" s="70">
        <v>0</v>
      </c>
      <c r="I111" s="70">
        <v>0</v>
      </c>
      <c r="J111" s="70">
        <v>0</v>
      </c>
      <c r="K111" s="3000">
        <f t="shared" si="5"/>
        <v>0</v>
      </c>
      <c r="L111" s="70">
        <v>0</v>
      </c>
      <c r="M111" s="70">
        <v>4680</v>
      </c>
      <c r="N111" s="70">
        <v>4680</v>
      </c>
      <c r="O111" s="3000">
        <f t="shared" si="6"/>
        <v>9360</v>
      </c>
      <c r="P111" s="70">
        <v>0</v>
      </c>
      <c r="Q111" s="70">
        <v>0</v>
      </c>
      <c r="R111" s="70">
        <v>0</v>
      </c>
      <c r="S111" s="3000">
        <f t="shared" si="7"/>
        <v>0</v>
      </c>
      <c r="T111" s="70" t="s">
        <v>1241</v>
      </c>
      <c r="U111" s="70" t="s">
        <v>1048</v>
      </c>
      <c r="V111" s="2921">
        <v>2</v>
      </c>
      <c r="W111" s="2921">
        <v>6</v>
      </c>
      <c r="X111" s="2921">
        <v>14</v>
      </c>
      <c r="Y111" s="70">
        <v>15000</v>
      </c>
      <c r="Z111" s="70">
        <v>0</v>
      </c>
      <c r="AA111" s="70">
        <v>9360</v>
      </c>
      <c r="AB111" s="70">
        <v>0</v>
      </c>
      <c r="AC111" s="70">
        <v>24360</v>
      </c>
      <c r="AD111" s="70">
        <v>0</v>
      </c>
    </row>
    <row r="112" spans="1:30">
      <c r="A112" s="2930">
        <v>105</v>
      </c>
      <c r="B112" s="70" t="s">
        <v>1193</v>
      </c>
      <c r="C112" s="70">
        <v>69780</v>
      </c>
      <c r="E112" s="70">
        <v>20580</v>
      </c>
      <c r="F112" s="70">
        <v>0</v>
      </c>
      <c r="G112" s="3000">
        <f t="shared" si="4"/>
        <v>20580</v>
      </c>
      <c r="H112" s="70">
        <v>0</v>
      </c>
      <c r="I112" s="70">
        <v>49200</v>
      </c>
      <c r="J112" s="70">
        <v>0</v>
      </c>
      <c r="K112" s="3000">
        <f t="shared" si="5"/>
        <v>49200</v>
      </c>
      <c r="L112" s="70">
        <v>0</v>
      </c>
      <c r="M112" s="70">
        <v>0</v>
      </c>
      <c r="N112" s="70">
        <v>0</v>
      </c>
      <c r="O112" s="3000">
        <f t="shared" si="6"/>
        <v>0</v>
      </c>
      <c r="S112" s="3000">
        <f t="shared" si="7"/>
        <v>0</v>
      </c>
      <c r="T112" s="70" t="s">
        <v>1241</v>
      </c>
      <c r="U112" s="70" t="s">
        <v>1048</v>
      </c>
      <c r="V112" s="2921">
        <v>2</v>
      </c>
      <c r="W112" s="2921">
        <v>6</v>
      </c>
      <c r="X112" s="2921">
        <v>14</v>
      </c>
      <c r="Y112" s="70">
        <v>20580</v>
      </c>
      <c r="Z112" s="70">
        <v>49200</v>
      </c>
      <c r="AA112" s="70">
        <v>0</v>
      </c>
      <c r="AB112" s="70">
        <v>0</v>
      </c>
      <c r="AC112" s="70">
        <v>69780</v>
      </c>
      <c r="AD112" s="70">
        <v>0</v>
      </c>
    </row>
    <row r="113" spans="1:30">
      <c r="A113" s="2891">
        <v>106</v>
      </c>
      <c r="B113" s="70" t="s">
        <v>1210</v>
      </c>
      <c r="C113" s="70">
        <v>160000</v>
      </c>
      <c r="D113" s="70">
        <v>0</v>
      </c>
      <c r="E113" s="70">
        <v>0</v>
      </c>
      <c r="F113" s="70">
        <v>0</v>
      </c>
      <c r="G113" s="3000">
        <f t="shared" si="4"/>
        <v>0</v>
      </c>
      <c r="H113" s="70">
        <v>0</v>
      </c>
      <c r="I113" s="70">
        <v>0</v>
      </c>
      <c r="J113" s="70">
        <v>0</v>
      </c>
      <c r="K113" s="3000">
        <f t="shared" si="5"/>
        <v>0</v>
      </c>
      <c r="L113" s="70">
        <v>0</v>
      </c>
      <c r="M113" s="70">
        <v>0</v>
      </c>
      <c r="N113" s="70">
        <v>0</v>
      </c>
      <c r="O113" s="3000">
        <f t="shared" si="6"/>
        <v>0</v>
      </c>
      <c r="P113" s="70">
        <v>0</v>
      </c>
      <c r="Q113" s="70">
        <v>160000</v>
      </c>
      <c r="R113" s="70">
        <v>0</v>
      </c>
      <c r="S113" s="3000">
        <f t="shared" si="7"/>
        <v>160000</v>
      </c>
      <c r="T113" s="70" t="s">
        <v>1241</v>
      </c>
      <c r="U113" s="70" t="s">
        <v>1048</v>
      </c>
      <c r="V113" s="2921">
        <v>2</v>
      </c>
      <c r="W113" s="2921">
        <v>6</v>
      </c>
      <c r="X113" s="2921">
        <v>14</v>
      </c>
      <c r="Y113" s="70">
        <v>0</v>
      </c>
      <c r="Z113" s="70">
        <v>0</v>
      </c>
      <c r="AA113" s="70">
        <v>0</v>
      </c>
      <c r="AB113" s="70">
        <v>160000</v>
      </c>
      <c r="AC113" s="70">
        <v>160000</v>
      </c>
      <c r="AD113" s="70">
        <v>0</v>
      </c>
    </row>
    <row r="114" spans="1:30">
      <c r="A114" s="2930">
        <v>107</v>
      </c>
      <c r="B114" s="70" t="s">
        <v>1214</v>
      </c>
      <c r="C114" s="70">
        <v>19080</v>
      </c>
      <c r="D114" s="70">
        <v>9540</v>
      </c>
      <c r="E114" s="70">
        <v>0</v>
      </c>
      <c r="F114" s="70">
        <v>0</v>
      </c>
      <c r="G114" s="3000">
        <f t="shared" si="4"/>
        <v>9540</v>
      </c>
      <c r="H114" s="70">
        <v>0</v>
      </c>
      <c r="I114" s="70">
        <v>0</v>
      </c>
      <c r="J114" s="70">
        <v>9540</v>
      </c>
      <c r="K114" s="3000">
        <f t="shared" si="5"/>
        <v>9540</v>
      </c>
      <c r="L114" s="70">
        <v>0</v>
      </c>
      <c r="M114" s="70">
        <v>0</v>
      </c>
      <c r="N114" s="70">
        <v>0</v>
      </c>
      <c r="O114" s="3000">
        <f t="shared" si="6"/>
        <v>0</v>
      </c>
      <c r="P114" s="70">
        <v>0</v>
      </c>
      <c r="Q114" s="70">
        <v>0</v>
      </c>
      <c r="R114" s="70">
        <v>0</v>
      </c>
      <c r="S114" s="3000">
        <f t="shared" si="7"/>
        <v>0</v>
      </c>
      <c r="T114" s="70" t="s">
        <v>1241</v>
      </c>
      <c r="U114" s="70" t="s">
        <v>1048</v>
      </c>
      <c r="V114" s="2921">
        <v>2</v>
      </c>
      <c r="W114" s="2921">
        <v>6</v>
      </c>
      <c r="X114" s="2921">
        <v>14</v>
      </c>
      <c r="Y114" s="70">
        <v>9540</v>
      </c>
      <c r="Z114" s="70">
        <v>9540</v>
      </c>
      <c r="AA114" s="70">
        <v>0</v>
      </c>
      <c r="AB114" s="70">
        <v>0</v>
      </c>
      <c r="AC114" s="70">
        <v>19080</v>
      </c>
      <c r="AD114" s="70">
        <v>0</v>
      </c>
    </row>
    <row r="115" spans="1:30">
      <c r="A115" s="2891">
        <v>108</v>
      </c>
      <c r="B115" s="70" t="s">
        <v>1221</v>
      </c>
      <c r="C115" s="70">
        <v>187160</v>
      </c>
      <c r="D115" s="70">
        <v>0</v>
      </c>
      <c r="E115" s="70">
        <v>0</v>
      </c>
      <c r="F115" s="70">
        <v>33600</v>
      </c>
      <c r="G115" s="3000">
        <f t="shared" si="4"/>
        <v>33600</v>
      </c>
      <c r="H115" s="70">
        <v>0</v>
      </c>
      <c r="I115" s="70">
        <v>53560</v>
      </c>
      <c r="J115" s="70">
        <v>0</v>
      </c>
      <c r="K115" s="3000">
        <f t="shared" si="5"/>
        <v>53560</v>
      </c>
      <c r="L115" s="70">
        <v>100000</v>
      </c>
      <c r="M115" s="70">
        <v>0</v>
      </c>
      <c r="N115" s="70">
        <v>0</v>
      </c>
      <c r="O115" s="3000">
        <f t="shared" si="6"/>
        <v>100000</v>
      </c>
      <c r="P115" s="70">
        <v>0</v>
      </c>
      <c r="Q115" s="70">
        <v>0</v>
      </c>
      <c r="R115" s="70">
        <v>0</v>
      </c>
      <c r="S115" s="3000">
        <f t="shared" si="7"/>
        <v>0</v>
      </c>
      <c r="T115" s="70" t="s">
        <v>1241</v>
      </c>
      <c r="U115" s="70" t="s">
        <v>1048</v>
      </c>
      <c r="V115" s="2921">
        <v>2</v>
      </c>
      <c r="W115" s="2921">
        <v>6</v>
      </c>
      <c r="X115" s="2921">
        <v>14</v>
      </c>
      <c r="Y115" s="70">
        <v>33600</v>
      </c>
      <c r="Z115" s="70">
        <v>53560</v>
      </c>
      <c r="AA115" s="70">
        <v>100000</v>
      </c>
      <c r="AB115" s="70">
        <v>0</v>
      </c>
      <c r="AC115" s="70">
        <v>187160</v>
      </c>
      <c r="AD115" s="70">
        <v>0</v>
      </c>
    </row>
    <row r="116" spans="1:30">
      <c r="A116" s="2930">
        <v>109</v>
      </c>
      <c r="B116" s="70" t="s">
        <v>1243</v>
      </c>
      <c r="C116" s="70">
        <v>970000</v>
      </c>
      <c r="D116" s="70">
        <v>0</v>
      </c>
      <c r="E116" s="70">
        <v>109100</v>
      </c>
      <c r="F116" s="70">
        <v>28750</v>
      </c>
      <c r="G116" s="3000">
        <f t="shared" si="4"/>
        <v>137850</v>
      </c>
      <c r="H116" s="70">
        <v>13750</v>
      </c>
      <c r="I116" s="70">
        <v>263750</v>
      </c>
      <c r="J116" s="70">
        <v>18750</v>
      </c>
      <c r="K116" s="3000">
        <f t="shared" si="5"/>
        <v>296250</v>
      </c>
      <c r="L116" s="70">
        <v>132150</v>
      </c>
      <c r="M116" s="70">
        <v>216400</v>
      </c>
      <c r="N116" s="70">
        <v>18750</v>
      </c>
      <c r="O116" s="3000">
        <f t="shared" si="6"/>
        <v>367300</v>
      </c>
      <c r="P116" s="70">
        <v>96750</v>
      </c>
      <c r="Q116" s="70">
        <v>56850</v>
      </c>
      <c r="R116" s="70">
        <v>15000</v>
      </c>
      <c r="S116" s="3000">
        <f t="shared" si="7"/>
        <v>168600</v>
      </c>
      <c r="T116" s="70" t="s">
        <v>1241</v>
      </c>
      <c r="U116" s="70" t="s">
        <v>1244</v>
      </c>
      <c r="V116" s="2921">
        <v>2</v>
      </c>
      <c r="W116" s="2921">
        <v>6</v>
      </c>
      <c r="X116" s="2921">
        <v>14</v>
      </c>
      <c r="Y116" s="70">
        <v>137850</v>
      </c>
      <c r="Z116" s="70">
        <v>296250</v>
      </c>
      <c r="AA116" s="70">
        <v>367300</v>
      </c>
      <c r="AB116" s="70">
        <v>168600</v>
      </c>
      <c r="AC116" s="70">
        <v>970000</v>
      </c>
      <c r="AD116" s="70">
        <v>0</v>
      </c>
    </row>
    <row r="117" spans="1:30">
      <c r="A117" s="2891">
        <v>110</v>
      </c>
      <c r="B117" s="70" t="s">
        <v>1329</v>
      </c>
      <c r="C117" s="70">
        <v>184000</v>
      </c>
      <c r="D117" s="70">
        <v>0</v>
      </c>
      <c r="E117" s="70">
        <v>0</v>
      </c>
      <c r="F117" s="70">
        <v>0</v>
      </c>
      <c r="G117" s="3000">
        <f t="shared" si="4"/>
        <v>0</v>
      </c>
      <c r="H117" s="70">
        <v>0</v>
      </c>
      <c r="I117" s="70">
        <v>0</v>
      </c>
      <c r="J117" s="70">
        <v>184000</v>
      </c>
      <c r="K117" s="3000">
        <f t="shared" si="5"/>
        <v>184000</v>
      </c>
      <c r="L117" s="70">
        <v>0</v>
      </c>
      <c r="M117" s="70">
        <v>0</v>
      </c>
      <c r="N117" s="70">
        <v>0</v>
      </c>
      <c r="O117" s="3000">
        <f t="shared" si="6"/>
        <v>0</v>
      </c>
      <c r="P117" s="70">
        <v>0</v>
      </c>
      <c r="Q117" s="70">
        <v>0</v>
      </c>
      <c r="R117" s="70">
        <v>0</v>
      </c>
      <c r="S117" s="3000">
        <f t="shared" si="7"/>
        <v>0</v>
      </c>
      <c r="T117" s="70" t="s">
        <v>1330</v>
      </c>
      <c r="U117" s="70" t="s">
        <v>1331</v>
      </c>
      <c r="V117" s="2921">
        <v>3</v>
      </c>
      <c r="W117" s="2921">
        <v>4</v>
      </c>
      <c r="X117" s="2921">
        <v>10</v>
      </c>
      <c r="Y117" s="70">
        <v>0</v>
      </c>
      <c r="Z117" s="70">
        <v>184000</v>
      </c>
      <c r="AA117" s="70">
        <v>0</v>
      </c>
      <c r="AB117" s="70">
        <v>0</v>
      </c>
      <c r="AC117" s="70">
        <v>184000</v>
      </c>
      <c r="AD117" s="70">
        <v>0</v>
      </c>
    </row>
    <row r="118" spans="1:30">
      <c r="A118" s="2930">
        <v>111</v>
      </c>
      <c r="B118" s="70" t="s">
        <v>1343</v>
      </c>
      <c r="C118" s="70">
        <v>753708</v>
      </c>
      <c r="D118" s="70">
        <v>62809</v>
      </c>
      <c r="E118" s="70">
        <v>62809</v>
      </c>
      <c r="F118" s="70">
        <v>62809</v>
      </c>
      <c r="G118" s="3000">
        <f t="shared" si="4"/>
        <v>188427</v>
      </c>
      <c r="H118" s="70">
        <v>62809</v>
      </c>
      <c r="I118" s="70">
        <v>62809</v>
      </c>
      <c r="J118" s="70">
        <v>62809</v>
      </c>
      <c r="K118" s="3000">
        <f t="shared" si="5"/>
        <v>188427</v>
      </c>
      <c r="L118" s="70">
        <v>62809</v>
      </c>
      <c r="M118" s="70">
        <v>62809</v>
      </c>
      <c r="N118" s="70">
        <v>62809</v>
      </c>
      <c r="O118" s="3000">
        <f t="shared" si="6"/>
        <v>188427</v>
      </c>
      <c r="P118" s="70">
        <v>62809</v>
      </c>
      <c r="Q118" s="70">
        <v>62809</v>
      </c>
      <c r="R118" s="70">
        <v>62809</v>
      </c>
      <c r="S118" s="3000">
        <f t="shared" si="7"/>
        <v>188427</v>
      </c>
      <c r="T118" s="70" t="s">
        <v>1241</v>
      </c>
      <c r="U118" s="70" t="s">
        <v>1331</v>
      </c>
      <c r="V118" s="2921">
        <v>7</v>
      </c>
      <c r="W118" s="2921">
        <v>27</v>
      </c>
      <c r="X118" s="2921">
        <v>42</v>
      </c>
      <c r="Y118" s="70">
        <v>188427</v>
      </c>
      <c r="Z118" s="70">
        <v>188427</v>
      </c>
      <c r="AA118" s="70">
        <v>188427</v>
      </c>
      <c r="AB118" s="70">
        <v>188427</v>
      </c>
      <c r="AC118" s="70">
        <v>753708</v>
      </c>
      <c r="AD118" s="70">
        <v>0</v>
      </c>
    </row>
    <row r="119" spans="1:30">
      <c r="A119" s="2891">
        <v>112</v>
      </c>
      <c r="B119" s="70" t="s">
        <v>1350</v>
      </c>
      <c r="C119" s="70">
        <v>122400</v>
      </c>
      <c r="D119" s="70">
        <v>0</v>
      </c>
      <c r="E119" s="70">
        <v>0</v>
      </c>
      <c r="F119" s="70">
        <v>0</v>
      </c>
      <c r="G119" s="3000">
        <f t="shared" si="4"/>
        <v>0</v>
      </c>
      <c r="H119" s="70">
        <v>0</v>
      </c>
      <c r="I119" s="70">
        <v>0</v>
      </c>
      <c r="J119" s="70">
        <v>0</v>
      </c>
      <c r="K119" s="3000">
        <f t="shared" si="5"/>
        <v>0</v>
      </c>
      <c r="L119" s="70">
        <v>0</v>
      </c>
      <c r="M119" s="70">
        <v>0</v>
      </c>
      <c r="N119" s="70">
        <v>0</v>
      </c>
      <c r="O119" s="3000">
        <f t="shared" si="6"/>
        <v>0</v>
      </c>
      <c r="P119" s="70">
        <v>0</v>
      </c>
      <c r="Q119" s="70">
        <v>0</v>
      </c>
      <c r="R119" s="70">
        <v>0</v>
      </c>
      <c r="S119" s="3000">
        <f t="shared" si="7"/>
        <v>0</v>
      </c>
      <c r="T119" s="70" t="s">
        <v>1241</v>
      </c>
      <c r="U119" s="70" t="s">
        <v>1331</v>
      </c>
      <c r="V119" s="2921">
        <v>1</v>
      </c>
      <c r="W119" s="2921">
        <v>3</v>
      </c>
      <c r="X119" s="2921">
        <v>4</v>
      </c>
      <c r="Y119" s="70">
        <v>0</v>
      </c>
      <c r="Z119" s="70">
        <v>51600</v>
      </c>
      <c r="AA119" s="70">
        <v>70800</v>
      </c>
      <c r="AB119" s="70">
        <v>0</v>
      </c>
      <c r="AC119" s="70">
        <v>122400</v>
      </c>
      <c r="AD119" s="70">
        <v>0</v>
      </c>
    </row>
    <row r="120" spans="1:30">
      <c r="A120" s="2930">
        <v>113</v>
      </c>
      <c r="B120" s="70" t="s">
        <v>1365</v>
      </c>
      <c r="C120" s="70">
        <v>400000</v>
      </c>
      <c r="D120" s="70">
        <v>0</v>
      </c>
      <c r="E120" s="70">
        <v>0</v>
      </c>
      <c r="F120" s="70">
        <v>100000</v>
      </c>
      <c r="G120" s="3000">
        <f t="shared" si="4"/>
        <v>100000</v>
      </c>
      <c r="H120" s="70">
        <v>0</v>
      </c>
      <c r="I120" s="70">
        <v>100000</v>
      </c>
      <c r="J120" s="70">
        <v>0</v>
      </c>
      <c r="K120" s="3000">
        <f t="shared" si="5"/>
        <v>100000</v>
      </c>
      <c r="L120" s="70">
        <v>0</v>
      </c>
      <c r="M120" s="70">
        <v>0</v>
      </c>
      <c r="N120" s="70">
        <v>100000</v>
      </c>
      <c r="O120" s="3000">
        <f t="shared" si="6"/>
        <v>100000</v>
      </c>
      <c r="P120" s="70">
        <v>0</v>
      </c>
      <c r="Q120" s="70">
        <v>100000</v>
      </c>
      <c r="S120" s="3000">
        <f t="shared" si="7"/>
        <v>100000</v>
      </c>
      <c r="T120" s="70" t="s">
        <v>1241</v>
      </c>
      <c r="U120" s="70" t="s">
        <v>1366</v>
      </c>
      <c r="V120" s="2921">
        <v>2</v>
      </c>
      <c r="W120" s="2921">
        <v>4</v>
      </c>
      <c r="X120" s="2921">
        <v>27</v>
      </c>
      <c r="Y120" s="70">
        <v>100000</v>
      </c>
      <c r="Z120" s="70">
        <v>100000</v>
      </c>
      <c r="AA120" s="70">
        <v>100000</v>
      </c>
      <c r="AB120" s="70">
        <v>100000</v>
      </c>
      <c r="AC120" s="70">
        <v>400000</v>
      </c>
      <c r="AD120" s="70">
        <v>0</v>
      </c>
    </row>
    <row r="121" spans="1:30">
      <c r="A121" s="2891">
        <v>114</v>
      </c>
      <c r="B121" s="70" t="s">
        <v>1376</v>
      </c>
      <c r="C121" s="70">
        <v>19440</v>
      </c>
      <c r="D121" s="70">
        <v>0</v>
      </c>
      <c r="E121" s="70">
        <v>0</v>
      </c>
      <c r="F121" s="70">
        <v>720</v>
      </c>
      <c r="G121" s="3000">
        <f t="shared" si="4"/>
        <v>720</v>
      </c>
      <c r="H121" s="70">
        <v>720</v>
      </c>
      <c r="I121" s="70">
        <v>0</v>
      </c>
      <c r="J121" s="70">
        <v>0</v>
      </c>
      <c r="K121" s="3000">
        <f t="shared" si="5"/>
        <v>720</v>
      </c>
      <c r="L121" s="70">
        <v>0</v>
      </c>
      <c r="M121" s="70">
        <v>18000</v>
      </c>
      <c r="N121" s="70">
        <v>0</v>
      </c>
      <c r="O121" s="3000">
        <f t="shared" si="6"/>
        <v>18000</v>
      </c>
      <c r="P121" s="70">
        <v>0</v>
      </c>
      <c r="Q121" s="70">
        <v>0</v>
      </c>
      <c r="R121" s="70">
        <v>0</v>
      </c>
      <c r="S121" s="3000">
        <f t="shared" si="7"/>
        <v>0</v>
      </c>
      <c r="T121" s="70" t="s">
        <v>1241</v>
      </c>
      <c r="U121" s="70" t="s">
        <v>1366</v>
      </c>
      <c r="V121" s="2921">
        <v>2</v>
      </c>
      <c r="W121" s="2921">
        <v>4</v>
      </c>
      <c r="X121" s="2921">
        <v>27</v>
      </c>
      <c r="Y121" s="70">
        <v>720</v>
      </c>
      <c r="Z121" s="70">
        <v>720</v>
      </c>
      <c r="AA121" s="70">
        <v>18000</v>
      </c>
      <c r="AB121" s="70">
        <v>0</v>
      </c>
      <c r="AC121" s="70">
        <v>19440</v>
      </c>
      <c r="AD121" s="70">
        <v>0</v>
      </c>
    </row>
    <row r="122" spans="1:30">
      <c r="A122" s="2930">
        <v>115</v>
      </c>
      <c r="B122" s="70" t="s">
        <v>1390</v>
      </c>
      <c r="C122" s="70">
        <v>19200</v>
      </c>
      <c r="D122" s="70">
        <v>0</v>
      </c>
      <c r="E122" s="70">
        <v>0</v>
      </c>
      <c r="F122" s="70">
        <v>0</v>
      </c>
      <c r="G122" s="3000">
        <f t="shared" si="4"/>
        <v>0</v>
      </c>
      <c r="H122" s="70">
        <v>0</v>
      </c>
      <c r="I122" s="70">
        <v>0</v>
      </c>
      <c r="J122" s="70">
        <v>0</v>
      </c>
      <c r="K122" s="3000">
        <f t="shared" si="5"/>
        <v>0</v>
      </c>
      <c r="L122" s="70">
        <v>0</v>
      </c>
      <c r="M122" s="70">
        <v>0</v>
      </c>
      <c r="N122" s="70">
        <v>0</v>
      </c>
      <c r="O122" s="3000">
        <f t="shared" si="6"/>
        <v>0</v>
      </c>
      <c r="P122" s="70">
        <v>19200</v>
      </c>
      <c r="Q122" s="70">
        <v>0</v>
      </c>
      <c r="R122" s="70">
        <v>0</v>
      </c>
      <c r="S122" s="3000">
        <f t="shared" si="7"/>
        <v>19200</v>
      </c>
      <c r="T122" s="70" t="s">
        <v>1241</v>
      </c>
      <c r="U122" s="70" t="s">
        <v>1366</v>
      </c>
      <c r="V122" s="2921">
        <v>2</v>
      </c>
      <c r="W122" s="2921">
        <v>4</v>
      </c>
      <c r="X122" s="2921">
        <v>27</v>
      </c>
      <c r="Y122" s="70">
        <v>0</v>
      </c>
      <c r="Z122" s="70">
        <v>0</v>
      </c>
      <c r="AA122" s="70">
        <v>0</v>
      </c>
      <c r="AB122" s="70">
        <v>19200</v>
      </c>
      <c r="AC122" s="70">
        <v>19200</v>
      </c>
      <c r="AD122" s="70">
        <v>0</v>
      </c>
    </row>
    <row r="123" spans="1:30">
      <c r="A123" s="2891">
        <v>116</v>
      </c>
      <c r="B123" s="70" t="s">
        <v>1396</v>
      </c>
      <c r="C123" s="70">
        <v>9600</v>
      </c>
      <c r="D123" s="70">
        <v>0</v>
      </c>
      <c r="E123" s="70">
        <v>0</v>
      </c>
      <c r="F123" s="70">
        <v>0</v>
      </c>
      <c r="G123" s="3000">
        <f t="shared" si="4"/>
        <v>0</v>
      </c>
      <c r="H123" s="70">
        <v>0</v>
      </c>
      <c r="I123" s="70">
        <v>9600</v>
      </c>
      <c r="J123" s="70">
        <v>0</v>
      </c>
      <c r="K123" s="3000">
        <f t="shared" si="5"/>
        <v>9600</v>
      </c>
      <c r="L123" s="70">
        <v>0</v>
      </c>
      <c r="M123" s="70">
        <v>0</v>
      </c>
      <c r="N123" s="70">
        <v>0</v>
      </c>
      <c r="O123" s="3000">
        <f t="shared" si="6"/>
        <v>0</v>
      </c>
      <c r="P123" s="70">
        <v>0</v>
      </c>
      <c r="Q123" s="70">
        <v>0</v>
      </c>
      <c r="R123" s="70">
        <v>0</v>
      </c>
      <c r="S123" s="3000">
        <f t="shared" si="7"/>
        <v>0</v>
      </c>
      <c r="T123" s="70" t="s">
        <v>1241</v>
      </c>
      <c r="U123" s="70" t="s">
        <v>1366</v>
      </c>
      <c r="V123" s="2921">
        <v>2</v>
      </c>
      <c r="W123" s="2921">
        <v>4</v>
      </c>
      <c r="X123" s="2921">
        <v>27</v>
      </c>
      <c r="Y123" s="70">
        <v>0</v>
      </c>
      <c r="Z123" s="70">
        <v>9600</v>
      </c>
      <c r="AA123" s="70">
        <v>0</v>
      </c>
      <c r="AB123" s="70">
        <v>0</v>
      </c>
      <c r="AC123" s="70">
        <v>9600</v>
      </c>
      <c r="AD123" s="70">
        <v>0</v>
      </c>
    </row>
    <row r="124" spans="1:30">
      <c r="A124" s="2930">
        <v>117</v>
      </c>
      <c r="B124" s="70" t="s">
        <v>1402</v>
      </c>
      <c r="C124" s="70">
        <v>202240</v>
      </c>
      <c r="D124" s="70">
        <v>0</v>
      </c>
      <c r="E124" s="70">
        <v>0</v>
      </c>
      <c r="F124" s="70">
        <v>0</v>
      </c>
      <c r="G124" s="3000">
        <f t="shared" si="4"/>
        <v>0</v>
      </c>
      <c r="H124" s="70">
        <v>0</v>
      </c>
      <c r="I124" s="70">
        <v>24840</v>
      </c>
      <c r="J124" s="70">
        <v>0</v>
      </c>
      <c r="K124" s="3000">
        <f t="shared" si="5"/>
        <v>24840</v>
      </c>
      <c r="L124" s="70">
        <v>0</v>
      </c>
      <c r="M124" s="70">
        <v>177400</v>
      </c>
      <c r="N124" s="70">
        <v>0</v>
      </c>
      <c r="O124" s="3000">
        <f t="shared" si="6"/>
        <v>177400</v>
      </c>
      <c r="P124" s="70">
        <v>0</v>
      </c>
      <c r="Q124" s="70">
        <v>0</v>
      </c>
      <c r="R124" s="70">
        <v>0</v>
      </c>
      <c r="S124" s="3000">
        <f t="shared" si="7"/>
        <v>0</v>
      </c>
      <c r="T124" s="70" t="s">
        <v>1241</v>
      </c>
      <c r="U124" s="70" t="s">
        <v>1366</v>
      </c>
      <c r="V124" s="2921">
        <v>7</v>
      </c>
      <c r="W124" s="2921">
        <v>27</v>
      </c>
      <c r="X124" s="2921">
        <v>42</v>
      </c>
      <c r="Y124" s="70">
        <v>0</v>
      </c>
      <c r="Z124" s="70">
        <v>24840</v>
      </c>
      <c r="AA124" s="70">
        <v>177400</v>
      </c>
      <c r="AC124" s="70">
        <v>202240</v>
      </c>
      <c r="AD124" s="70">
        <v>0</v>
      </c>
    </row>
    <row r="125" spans="1:30">
      <c r="A125" s="2891">
        <v>118</v>
      </c>
      <c r="B125" s="70" t="s">
        <v>1421</v>
      </c>
      <c r="C125" s="70">
        <v>9500</v>
      </c>
      <c r="D125" s="70">
        <v>0</v>
      </c>
      <c r="E125" s="70">
        <v>0</v>
      </c>
      <c r="F125" s="70">
        <v>0</v>
      </c>
      <c r="G125" s="3000">
        <f t="shared" si="4"/>
        <v>0</v>
      </c>
      <c r="H125" s="70">
        <v>9500</v>
      </c>
      <c r="I125" s="70">
        <v>0</v>
      </c>
      <c r="J125" s="70">
        <v>0</v>
      </c>
      <c r="K125" s="3000">
        <f t="shared" si="5"/>
        <v>9500</v>
      </c>
      <c r="L125" s="70">
        <v>0</v>
      </c>
      <c r="M125" s="70">
        <v>0</v>
      </c>
      <c r="N125" s="70">
        <v>0</v>
      </c>
      <c r="O125" s="3000">
        <f t="shared" si="6"/>
        <v>0</v>
      </c>
      <c r="P125" s="70">
        <v>0</v>
      </c>
      <c r="Q125" s="70">
        <v>0</v>
      </c>
      <c r="R125" s="70">
        <v>0</v>
      </c>
      <c r="S125" s="3000">
        <f t="shared" si="7"/>
        <v>0</v>
      </c>
      <c r="T125" s="70" t="s">
        <v>1241</v>
      </c>
      <c r="U125" s="70" t="s">
        <v>1366</v>
      </c>
      <c r="V125" s="2921">
        <v>7</v>
      </c>
      <c r="W125" s="2921">
        <v>27</v>
      </c>
      <c r="X125" s="2921">
        <v>41</v>
      </c>
      <c r="Y125" s="70">
        <v>0</v>
      </c>
      <c r="Z125" s="70">
        <v>9500</v>
      </c>
      <c r="AA125" s="70">
        <v>0</v>
      </c>
      <c r="AB125" s="70">
        <v>0</v>
      </c>
      <c r="AC125" s="70">
        <v>9500</v>
      </c>
      <c r="AD125" s="70">
        <v>0</v>
      </c>
    </row>
    <row r="126" spans="1:30">
      <c r="A126" s="2930">
        <v>119</v>
      </c>
      <c r="B126" s="70" t="s">
        <v>1427</v>
      </c>
      <c r="C126" s="70">
        <v>138600</v>
      </c>
      <c r="D126" s="70">
        <v>0</v>
      </c>
      <c r="E126" s="70">
        <v>0</v>
      </c>
      <c r="F126" s="70">
        <v>0</v>
      </c>
      <c r="G126" s="3000">
        <f t="shared" si="4"/>
        <v>0</v>
      </c>
      <c r="H126" s="70">
        <v>0</v>
      </c>
      <c r="I126" s="70">
        <v>0</v>
      </c>
      <c r="J126" s="70">
        <v>0</v>
      </c>
      <c r="K126" s="3000">
        <f t="shared" si="5"/>
        <v>0</v>
      </c>
      <c r="L126" s="70">
        <v>0</v>
      </c>
      <c r="M126" s="70">
        <v>138600</v>
      </c>
      <c r="N126" s="70">
        <v>0</v>
      </c>
      <c r="O126" s="3000">
        <f t="shared" si="6"/>
        <v>138600</v>
      </c>
      <c r="P126" s="70">
        <v>0</v>
      </c>
      <c r="Q126" s="70">
        <v>0</v>
      </c>
      <c r="R126" s="70">
        <v>0</v>
      </c>
      <c r="S126" s="3000">
        <f t="shared" si="7"/>
        <v>0</v>
      </c>
      <c r="T126" s="70" t="s">
        <v>1241</v>
      </c>
      <c r="U126" s="70" t="s">
        <v>1366</v>
      </c>
      <c r="V126" s="2921">
        <v>2</v>
      </c>
      <c r="W126" s="2921">
        <v>4</v>
      </c>
      <c r="X126" s="2921">
        <v>27</v>
      </c>
      <c r="Y126" s="70">
        <v>0</v>
      </c>
      <c r="Z126" s="70">
        <v>0</v>
      </c>
      <c r="AA126" s="70">
        <v>138600</v>
      </c>
      <c r="AB126" s="70">
        <v>0</v>
      </c>
      <c r="AC126" s="70">
        <v>138600</v>
      </c>
      <c r="AD126" s="70">
        <v>0</v>
      </c>
    </row>
    <row r="127" spans="1:30">
      <c r="A127" s="2891">
        <v>120</v>
      </c>
      <c r="B127" s="70" t="s">
        <v>3006</v>
      </c>
      <c r="C127" s="70">
        <v>14250</v>
      </c>
      <c r="D127" s="70">
        <v>0</v>
      </c>
      <c r="E127" s="70">
        <v>0</v>
      </c>
      <c r="F127" s="70">
        <v>0</v>
      </c>
      <c r="G127" s="3000">
        <f t="shared" si="4"/>
        <v>0</v>
      </c>
      <c r="H127" s="70">
        <v>0</v>
      </c>
      <c r="I127" s="70">
        <v>4750</v>
      </c>
      <c r="J127" s="70">
        <v>0</v>
      </c>
      <c r="K127" s="3000">
        <f t="shared" si="5"/>
        <v>4750</v>
      </c>
      <c r="L127" s="70">
        <v>0</v>
      </c>
      <c r="M127" s="70">
        <v>4750</v>
      </c>
      <c r="N127" s="70">
        <v>0</v>
      </c>
      <c r="O127" s="3000">
        <f t="shared" si="6"/>
        <v>4750</v>
      </c>
      <c r="P127" s="70">
        <v>0</v>
      </c>
      <c r="Q127" s="70">
        <v>4750</v>
      </c>
      <c r="R127" s="70">
        <v>0</v>
      </c>
      <c r="S127" s="3000">
        <f t="shared" si="7"/>
        <v>4750</v>
      </c>
      <c r="T127" s="70" t="s">
        <v>1241</v>
      </c>
      <c r="U127" s="70" t="s">
        <v>1366</v>
      </c>
      <c r="V127" s="2921">
        <v>2</v>
      </c>
      <c r="W127" s="2921">
        <v>7</v>
      </c>
      <c r="X127" s="2921">
        <v>20</v>
      </c>
      <c r="Y127" s="70">
        <v>0</v>
      </c>
      <c r="Z127" s="70">
        <v>4750</v>
      </c>
      <c r="AA127" s="70">
        <v>4750</v>
      </c>
      <c r="AB127" s="70">
        <v>4750</v>
      </c>
      <c r="AC127" s="70">
        <v>14250</v>
      </c>
      <c r="AD127" s="70">
        <v>0</v>
      </c>
    </row>
    <row r="128" spans="1:30">
      <c r="A128" s="2930">
        <v>121</v>
      </c>
      <c r="B128" s="70" t="s">
        <v>3005</v>
      </c>
      <c r="C128" s="70">
        <v>7200</v>
      </c>
      <c r="D128" s="70">
        <v>0</v>
      </c>
      <c r="E128" s="70">
        <v>0</v>
      </c>
      <c r="F128" s="70">
        <v>0</v>
      </c>
      <c r="G128" s="3000">
        <f t="shared" si="4"/>
        <v>0</v>
      </c>
      <c r="H128" s="70">
        <v>0</v>
      </c>
      <c r="I128" s="70">
        <v>0</v>
      </c>
      <c r="J128" s="70">
        <v>0</v>
      </c>
      <c r="K128" s="3000">
        <f t="shared" si="5"/>
        <v>0</v>
      </c>
      <c r="L128" s="70">
        <v>0</v>
      </c>
      <c r="M128" s="70">
        <v>7200</v>
      </c>
      <c r="N128" s="70">
        <v>0</v>
      </c>
      <c r="O128" s="3000">
        <f t="shared" si="6"/>
        <v>7200</v>
      </c>
      <c r="P128" s="70">
        <v>0</v>
      </c>
      <c r="Q128" s="70">
        <v>0</v>
      </c>
      <c r="R128" s="70">
        <v>0</v>
      </c>
      <c r="S128" s="3000">
        <f t="shared" si="7"/>
        <v>0</v>
      </c>
      <c r="T128" s="70" t="s">
        <v>1241</v>
      </c>
      <c r="U128" s="70" t="s">
        <v>1366</v>
      </c>
      <c r="V128" s="2921">
        <v>2</v>
      </c>
      <c r="W128" s="2921">
        <v>7</v>
      </c>
      <c r="X128" s="2921">
        <v>20</v>
      </c>
      <c r="Y128" s="70">
        <v>0</v>
      </c>
      <c r="Z128" s="70">
        <v>0</v>
      </c>
      <c r="AA128" s="70">
        <v>7200</v>
      </c>
      <c r="AB128" s="70">
        <v>0</v>
      </c>
      <c r="AC128" s="70">
        <v>7200</v>
      </c>
      <c r="AD128" s="70">
        <v>0</v>
      </c>
    </row>
    <row r="129" spans="1:30">
      <c r="A129" s="2891">
        <v>122</v>
      </c>
      <c r="B129" s="70" t="s">
        <v>3007</v>
      </c>
      <c r="C129" s="70">
        <v>37300</v>
      </c>
      <c r="D129" s="70">
        <v>0</v>
      </c>
      <c r="E129" s="70">
        <v>0</v>
      </c>
      <c r="F129" s="70">
        <v>0</v>
      </c>
      <c r="G129" s="3000">
        <f t="shared" si="4"/>
        <v>0</v>
      </c>
      <c r="H129" s="70">
        <v>37300</v>
      </c>
      <c r="I129" s="70">
        <v>0</v>
      </c>
      <c r="J129" s="70">
        <v>0</v>
      </c>
      <c r="K129" s="3000">
        <f t="shared" si="5"/>
        <v>37300</v>
      </c>
      <c r="L129" s="70">
        <v>0</v>
      </c>
      <c r="M129" s="70">
        <v>0</v>
      </c>
      <c r="N129" s="70">
        <v>0</v>
      </c>
      <c r="O129" s="3000">
        <f t="shared" si="6"/>
        <v>0</v>
      </c>
      <c r="P129" s="70">
        <v>0</v>
      </c>
      <c r="Q129" s="70">
        <v>0</v>
      </c>
      <c r="R129" s="70">
        <v>0</v>
      </c>
      <c r="S129" s="3000">
        <f t="shared" si="7"/>
        <v>0</v>
      </c>
      <c r="T129" s="70" t="s">
        <v>1241</v>
      </c>
      <c r="U129" s="70" t="s">
        <v>1366</v>
      </c>
      <c r="V129" s="2921">
        <v>2</v>
      </c>
      <c r="W129" s="2921">
        <v>7</v>
      </c>
      <c r="X129" s="2921">
        <v>20</v>
      </c>
      <c r="Y129" s="70">
        <v>0</v>
      </c>
      <c r="Z129" s="70">
        <v>37300</v>
      </c>
      <c r="AA129" s="70">
        <v>0</v>
      </c>
      <c r="AB129" s="70">
        <v>0</v>
      </c>
      <c r="AC129" s="70">
        <v>37300</v>
      </c>
      <c r="AD129" s="70">
        <v>0</v>
      </c>
    </row>
    <row r="130" spans="1:30">
      <c r="A130" s="2930">
        <v>123</v>
      </c>
      <c r="B130" s="70" t="s">
        <v>1455</v>
      </c>
      <c r="G130" s="3000">
        <f t="shared" si="4"/>
        <v>0</v>
      </c>
      <c r="K130" s="3000">
        <f t="shared" si="5"/>
        <v>0</v>
      </c>
      <c r="O130" s="3000">
        <f t="shared" si="6"/>
        <v>0</v>
      </c>
      <c r="S130" s="3000">
        <f t="shared" si="7"/>
        <v>0</v>
      </c>
      <c r="V130" s="2921">
        <v>1</v>
      </c>
      <c r="W130" s="2921">
        <v>1</v>
      </c>
      <c r="X130" s="2921">
        <v>1</v>
      </c>
      <c r="Y130" s="70">
        <v>0</v>
      </c>
      <c r="Z130" s="70">
        <v>0</v>
      </c>
      <c r="AA130" s="70">
        <v>0</v>
      </c>
      <c r="AB130" s="70">
        <v>0</v>
      </c>
      <c r="AC130" s="70">
        <v>0</v>
      </c>
      <c r="AD130" s="70">
        <v>0</v>
      </c>
    </row>
    <row r="131" spans="1:30">
      <c r="A131" s="2891">
        <v>124</v>
      </c>
      <c r="B131" s="70" t="s">
        <v>1460</v>
      </c>
      <c r="G131" s="3000">
        <f t="shared" si="4"/>
        <v>0</v>
      </c>
      <c r="K131" s="3000">
        <f t="shared" si="5"/>
        <v>0</v>
      </c>
      <c r="O131" s="3000">
        <f t="shared" si="6"/>
        <v>0</v>
      </c>
      <c r="S131" s="3000">
        <f t="shared" si="7"/>
        <v>0</v>
      </c>
      <c r="V131" s="2921">
        <v>1</v>
      </c>
      <c r="W131" s="2921">
        <v>1</v>
      </c>
      <c r="X131" s="2921">
        <v>1</v>
      </c>
      <c r="Y131" s="70">
        <v>0</v>
      </c>
      <c r="Z131" s="70">
        <v>0</v>
      </c>
      <c r="AA131" s="70">
        <v>0</v>
      </c>
      <c r="AB131" s="70">
        <v>0</v>
      </c>
      <c r="AC131" s="70">
        <v>0</v>
      </c>
      <c r="AD131" s="70">
        <v>0</v>
      </c>
    </row>
    <row r="132" spans="1:30">
      <c r="A132" s="2930">
        <v>125</v>
      </c>
      <c r="B132" s="70" t="s">
        <v>1465</v>
      </c>
      <c r="G132" s="3000">
        <f t="shared" si="4"/>
        <v>0</v>
      </c>
      <c r="K132" s="3000">
        <f t="shared" si="5"/>
        <v>0</v>
      </c>
      <c r="O132" s="3000">
        <f t="shared" si="6"/>
        <v>0</v>
      </c>
      <c r="S132" s="3000">
        <f t="shared" si="7"/>
        <v>0</v>
      </c>
      <c r="V132" s="2921">
        <v>1</v>
      </c>
      <c r="W132" s="2921">
        <v>1</v>
      </c>
      <c r="X132" s="2921">
        <v>1</v>
      </c>
      <c r="Y132" s="70">
        <v>0</v>
      </c>
      <c r="Z132" s="70">
        <v>0</v>
      </c>
      <c r="AA132" s="70">
        <v>0</v>
      </c>
      <c r="AB132" s="70">
        <v>0</v>
      </c>
      <c r="AC132" s="70">
        <v>0</v>
      </c>
      <c r="AD132" s="70">
        <v>0</v>
      </c>
    </row>
    <row r="133" spans="1:30">
      <c r="A133" s="2891">
        <v>126</v>
      </c>
      <c r="B133" s="70" t="s">
        <v>1469</v>
      </c>
      <c r="C133" s="70">
        <v>40850</v>
      </c>
      <c r="D133" s="70">
        <v>0</v>
      </c>
      <c r="E133" s="70">
        <v>0</v>
      </c>
      <c r="F133" s="70">
        <v>7200</v>
      </c>
      <c r="G133" s="3000">
        <f t="shared" si="4"/>
        <v>7200</v>
      </c>
      <c r="H133" s="70">
        <v>625</v>
      </c>
      <c r="I133" s="70">
        <v>0</v>
      </c>
      <c r="J133" s="70">
        <v>7200</v>
      </c>
      <c r="K133" s="3000">
        <f t="shared" si="5"/>
        <v>7825</v>
      </c>
      <c r="L133" s="70">
        <v>0</v>
      </c>
      <c r="M133" s="70">
        <v>6625</v>
      </c>
      <c r="N133" s="70">
        <v>13200</v>
      </c>
      <c r="O133" s="3000">
        <f t="shared" si="6"/>
        <v>19825</v>
      </c>
      <c r="P133" s="70">
        <v>6000</v>
      </c>
      <c r="Q133" s="70">
        <v>0</v>
      </c>
      <c r="R133" s="70">
        <v>0</v>
      </c>
      <c r="S133" s="3000">
        <f t="shared" si="7"/>
        <v>6000</v>
      </c>
      <c r="T133" s="70" t="s">
        <v>2212</v>
      </c>
      <c r="U133" s="70" t="s">
        <v>1048</v>
      </c>
      <c r="V133" s="2921">
        <v>1</v>
      </c>
      <c r="W133" s="2921">
        <v>2</v>
      </c>
      <c r="X133" s="2921">
        <v>3</v>
      </c>
    </row>
    <row r="134" spans="1:30">
      <c r="A134" s="2930">
        <v>127</v>
      </c>
      <c r="B134" s="70" t="s">
        <v>1489</v>
      </c>
      <c r="C134" s="70">
        <v>7200</v>
      </c>
      <c r="D134" s="70">
        <v>0</v>
      </c>
      <c r="E134" s="70">
        <v>0</v>
      </c>
      <c r="F134" s="70">
        <v>0</v>
      </c>
      <c r="G134" s="3000">
        <f t="shared" si="4"/>
        <v>0</v>
      </c>
      <c r="H134" s="70">
        <v>0</v>
      </c>
      <c r="I134" s="70">
        <v>0</v>
      </c>
      <c r="J134" s="70">
        <v>0</v>
      </c>
      <c r="K134" s="3000">
        <f t="shared" si="5"/>
        <v>0</v>
      </c>
      <c r="L134" s="70">
        <v>0</v>
      </c>
      <c r="M134" s="70">
        <v>0</v>
      </c>
      <c r="N134" s="70">
        <v>0</v>
      </c>
      <c r="O134" s="3000">
        <f t="shared" si="6"/>
        <v>0</v>
      </c>
      <c r="P134" s="70">
        <v>0</v>
      </c>
      <c r="Q134" s="70">
        <v>7200</v>
      </c>
      <c r="R134" s="70">
        <v>0</v>
      </c>
      <c r="S134" s="3000">
        <f t="shared" si="7"/>
        <v>7200</v>
      </c>
      <c r="T134" s="70" t="s">
        <v>2212</v>
      </c>
      <c r="U134" s="70" t="s">
        <v>280</v>
      </c>
      <c r="V134" s="2921">
        <v>1</v>
      </c>
      <c r="W134" s="2921">
        <v>1</v>
      </c>
      <c r="X134" s="2921">
        <v>2</v>
      </c>
    </row>
    <row r="135" spans="1:30">
      <c r="A135" s="2891">
        <v>128</v>
      </c>
      <c r="B135" s="70" t="s">
        <v>1506</v>
      </c>
      <c r="C135" s="70">
        <v>9600</v>
      </c>
      <c r="D135" s="70">
        <v>0</v>
      </c>
      <c r="E135" s="70">
        <v>0</v>
      </c>
      <c r="F135" s="70">
        <v>0</v>
      </c>
      <c r="G135" s="3000">
        <f t="shared" ref="G135:G198" si="8">SUM(D135:F135)</f>
        <v>0</v>
      </c>
      <c r="H135" s="70">
        <v>2400</v>
      </c>
      <c r="I135" s="70">
        <v>0</v>
      </c>
      <c r="J135" s="70">
        <v>0</v>
      </c>
      <c r="K135" s="3000">
        <f t="shared" ref="K135:K198" si="9">SUM(H135:J135)</f>
        <v>2400</v>
      </c>
      <c r="L135" s="70">
        <v>0</v>
      </c>
      <c r="M135" s="70">
        <v>0</v>
      </c>
      <c r="N135" s="70">
        <v>0</v>
      </c>
      <c r="O135" s="3000">
        <f t="shared" ref="O135:O198" si="10">SUM(L135:N135)</f>
        <v>0</v>
      </c>
      <c r="P135" s="70">
        <v>0</v>
      </c>
      <c r="Q135" s="70">
        <v>0</v>
      </c>
      <c r="R135" s="70">
        <v>7200</v>
      </c>
      <c r="S135" s="3000">
        <f t="shared" ref="S135:S198" si="11">SUM(P135:R135)</f>
        <v>7200</v>
      </c>
      <c r="T135" s="70" t="s">
        <v>2212</v>
      </c>
      <c r="U135" s="70" t="s">
        <v>280</v>
      </c>
      <c r="V135" s="2921">
        <v>1</v>
      </c>
      <c r="W135" s="2921">
        <v>1</v>
      </c>
      <c r="X135" s="2921">
        <v>2</v>
      </c>
    </row>
    <row r="136" spans="1:30">
      <c r="A136" s="2930">
        <v>129</v>
      </c>
      <c r="B136" s="70" t="s">
        <v>1516</v>
      </c>
      <c r="C136" s="70">
        <v>0</v>
      </c>
      <c r="D136" s="70">
        <v>0</v>
      </c>
      <c r="E136" s="70">
        <v>0</v>
      </c>
      <c r="F136" s="70">
        <v>0</v>
      </c>
      <c r="G136" s="3000">
        <f t="shared" si="8"/>
        <v>0</v>
      </c>
      <c r="H136" s="70">
        <v>0</v>
      </c>
      <c r="I136" s="70">
        <v>0</v>
      </c>
      <c r="J136" s="70">
        <v>0</v>
      </c>
      <c r="K136" s="3000">
        <f t="shared" si="9"/>
        <v>0</v>
      </c>
      <c r="L136" s="70">
        <v>0</v>
      </c>
      <c r="M136" s="70">
        <v>0</v>
      </c>
      <c r="N136" s="70">
        <v>0</v>
      </c>
      <c r="O136" s="3000">
        <f t="shared" si="10"/>
        <v>0</v>
      </c>
      <c r="P136" s="70">
        <v>0</v>
      </c>
      <c r="Q136" s="70">
        <v>0</v>
      </c>
      <c r="R136" s="70">
        <v>0</v>
      </c>
      <c r="S136" s="3000">
        <f t="shared" si="11"/>
        <v>0</v>
      </c>
      <c r="T136" s="70" t="s">
        <v>2212</v>
      </c>
      <c r="U136" s="70" t="s">
        <v>280</v>
      </c>
      <c r="V136" s="2921">
        <v>1</v>
      </c>
      <c r="W136" s="2921">
        <v>1</v>
      </c>
      <c r="X136" s="2921">
        <v>2</v>
      </c>
    </row>
    <row r="137" spans="1:30">
      <c r="A137" s="2891">
        <v>130</v>
      </c>
      <c r="B137" s="70" t="s">
        <v>1530</v>
      </c>
      <c r="C137" s="70">
        <v>20000</v>
      </c>
      <c r="D137" s="70">
        <v>0</v>
      </c>
      <c r="E137" s="70">
        <v>0</v>
      </c>
      <c r="F137" s="70">
        <v>0</v>
      </c>
      <c r="G137" s="3000">
        <f t="shared" si="8"/>
        <v>0</v>
      </c>
      <c r="H137" s="70">
        <v>0</v>
      </c>
      <c r="I137" s="70">
        <v>0</v>
      </c>
      <c r="J137" s="70">
        <v>0</v>
      </c>
      <c r="K137" s="3000">
        <f t="shared" si="9"/>
        <v>0</v>
      </c>
      <c r="L137" s="70">
        <v>0</v>
      </c>
      <c r="M137" s="70">
        <v>0</v>
      </c>
      <c r="N137" s="70">
        <v>0</v>
      </c>
      <c r="O137" s="3000">
        <f t="shared" si="10"/>
        <v>0</v>
      </c>
      <c r="P137" s="70">
        <v>0</v>
      </c>
      <c r="Q137" s="70">
        <v>0</v>
      </c>
      <c r="R137" s="70">
        <v>20000</v>
      </c>
      <c r="S137" s="3000">
        <f t="shared" si="11"/>
        <v>20000</v>
      </c>
      <c r="T137" s="70" t="s">
        <v>2212</v>
      </c>
      <c r="U137" s="70" t="s">
        <v>1048</v>
      </c>
      <c r="V137" s="2921">
        <v>2</v>
      </c>
      <c r="W137" s="2921">
        <v>5</v>
      </c>
      <c r="X137" s="2921">
        <v>9</v>
      </c>
    </row>
    <row r="138" spans="1:30">
      <c r="A138" s="2930">
        <v>131</v>
      </c>
      <c r="B138" s="70" t="s">
        <v>1538</v>
      </c>
      <c r="C138" s="70">
        <v>12000</v>
      </c>
      <c r="D138" s="70">
        <v>0</v>
      </c>
      <c r="E138" s="70">
        <v>6000</v>
      </c>
      <c r="F138" s="70">
        <v>6000</v>
      </c>
      <c r="G138" s="3000">
        <f t="shared" si="8"/>
        <v>12000</v>
      </c>
      <c r="H138" s="70">
        <v>0</v>
      </c>
      <c r="I138" s="70">
        <v>0</v>
      </c>
      <c r="J138" s="70">
        <v>0</v>
      </c>
      <c r="K138" s="3000">
        <f t="shared" si="9"/>
        <v>0</v>
      </c>
      <c r="L138" s="70">
        <v>0</v>
      </c>
      <c r="M138" s="70">
        <v>0</v>
      </c>
      <c r="N138" s="70">
        <v>0</v>
      </c>
      <c r="O138" s="3000">
        <f t="shared" si="10"/>
        <v>0</v>
      </c>
      <c r="P138" s="70">
        <v>0</v>
      </c>
      <c r="Q138" s="70">
        <v>0</v>
      </c>
      <c r="R138" s="70">
        <v>0</v>
      </c>
      <c r="S138" s="3000">
        <f t="shared" si="11"/>
        <v>0</v>
      </c>
      <c r="T138" s="70" t="s">
        <v>2212</v>
      </c>
      <c r="U138" s="70" t="s">
        <v>1048</v>
      </c>
      <c r="V138" s="2921">
        <v>2</v>
      </c>
      <c r="W138" s="2921">
        <v>5</v>
      </c>
      <c r="X138" s="2921">
        <v>9</v>
      </c>
    </row>
    <row r="139" spans="1:30">
      <c r="A139" s="2891">
        <v>132</v>
      </c>
      <c r="B139" s="70" t="s">
        <v>1542</v>
      </c>
      <c r="C139" s="70">
        <v>31200</v>
      </c>
      <c r="D139" s="70">
        <v>0</v>
      </c>
      <c r="E139" s="70">
        <v>0</v>
      </c>
      <c r="F139" s="70">
        <v>24000</v>
      </c>
      <c r="G139" s="3000">
        <f t="shared" si="8"/>
        <v>24000</v>
      </c>
      <c r="H139" s="70">
        <v>3600</v>
      </c>
      <c r="I139" s="70">
        <v>3600</v>
      </c>
      <c r="J139" s="70">
        <v>0</v>
      </c>
      <c r="K139" s="3000">
        <f t="shared" si="9"/>
        <v>7200</v>
      </c>
      <c r="L139" s="70">
        <v>0</v>
      </c>
      <c r="M139" s="70">
        <v>0</v>
      </c>
      <c r="N139" s="70">
        <v>0</v>
      </c>
      <c r="O139" s="3000">
        <f t="shared" si="10"/>
        <v>0</v>
      </c>
      <c r="P139" s="70">
        <v>0</v>
      </c>
      <c r="Q139" s="70">
        <v>0</v>
      </c>
      <c r="R139" s="70">
        <v>0</v>
      </c>
      <c r="S139" s="3000">
        <f t="shared" si="11"/>
        <v>0</v>
      </c>
      <c r="T139" s="70" t="s">
        <v>2212</v>
      </c>
      <c r="U139" s="70" t="s">
        <v>1048</v>
      </c>
      <c r="V139" s="2921">
        <v>2</v>
      </c>
      <c r="W139" s="2921">
        <v>5</v>
      </c>
      <c r="X139" s="2921">
        <v>9</v>
      </c>
    </row>
    <row r="140" spans="1:30">
      <c r="A140" s="2930">
        <v>133</v>
      </c>
      <c r="B140" s="70" t="s">
        <v>1548</v>
      </c>
      <c r="C140" s="70">
        <v>7200</v>
      </c>
      <c r="D140" s="70">
        <v>0</v>
      </c>
      <c r="E140" s="70">
        <v>0</v>
      </c>
      <c r="F140" s="70">
        <v>0</v>
      </c>
      <c r="G140" s="3000">
        <f t="shared" si="8"/>
        <v>0</v>
      </c>
      <c r="H140" s="70">
        <v>3600</v>
      </c>
      <c r="J140" s="70">
        <v>0</v>
      </c>
      <c r="K140" s="3000">
        <f t="shared" si="9"/>
        <v>3600</v>
      </c>
      <c r="L140" s="70">
        <v>0</v>
      </c>
      <c r="M140" s="70">
        <v>3600</v>
      </c>
      <c r="O140" s="3000">
        <f t="shared" si="10"/>
        <v>3600</v>
      </c>
      <c r="P140" s="70">
        <v>0</v>
      </c>
      <c r="R140" s="70">
        <v>0</v>
      </c>
      <c r="S140" s="3000">
        <f t="shared" si="11"/>
        <v>0</v>
      </c>
      <c r="T140" s="70" t="s">
        <v>2212</v>
      </c>
      <c r="U140" s="70" t="s">
        <v>1048</v>
      </c>
      <c r="V140" s="2921">
        <v>2</v>
      </c>
      <c r="W140" s="2921">
        <v>5</v>
      </c>
      <c r="X140" s="2921">
        <v>9</v>
      </c>
    </row>
    <row r="141" spans="1:30">
      <c r="A141" s="2891">
        <v>134</v>
      </c>
      <c r="B141" s="70" t="s">
        <v>1553</v>
      </c>
      <c r="C141" s="70">
        <v>1920</v>
      </c>
      <c r="D141" s="70">
        <v>0</v>
      </c>
      <c r="E141" s="70">
        <v>0</v>
      </c>
      <c r="F141" s="70">
        <v>0</v>
      </c>
      <c r="G141" s="3000">
        <f t="shared" si="8"/>
        <v>0</v>
      </c>
      <c r="H141" s="70">
        <v>0</v>
      </c>
      <c r="I141" s="70">
        <v>0</v>
      </c>
      <c r="J141" s="70">
        <v>1920</v>
      </c>
      <c r="K141" s="3000">
        <f t="shared" si="9"/>
        <v>1920</v>
      </c>
      <c r="L141" s="70">
        <v>0</v>
      </c>
      <c r="M141" s="70">
        <v>0</v>
      </c>
      <c r="N141" s="70">
        <v>0</v>
      </c>
      <c r="O141" s="3000">
        <f t="shared" si="10"/>
        <v>0</v>
      </c>
      <c r="P141" s="70">
        <v>0</v>
      </c>
      <c r="Q141" s="70">
        <v>0</v>
      </c>
      <c r="R141" s="70">
        <v>0</v>
      </c>
      <c r="S141" s="3000">
        <f t="shared" si="11"/>
        <v>0</v>
      </c>
      <c r="T141" s="70" t="s">
        <v>2212</v>
      </c>
      <c r="U141" s="70" t="s">
        <v>1048</v>
      </c>
      <c r="V141" s="2921">
        <v>2</v>
      </c>
      <c r="W141" s="2921">
        <v>5</v>
      </c>
      <c r="X141" s="2921">
        <v>9</v>
      </c>
    </row>
    <row r="142" spans="1:30">
      <c r="A142" s="2930">
        <v>135</v>
      </c>
      <c r="B142" s="70" t="s">
        <v>1563</v>
      </c>
      <c r="C142" s="70">
        <v>0</v>
      </c>
      <c r="D142" s="70">
        <v>0</v>
      </c>
      <c r="E142" s="70">
        <v>0</v>
      </c>
      <c r="F142" s="70">
        <v>0</v>
      </c>
      <c r="G142" s="3000">
        <f t="shared" si="8"/>
        <v>0</v>
      </c>
      <c r="H142" s="70">
        <v>0</v>
      </c>
      <c r="I142" s="70">
        <v>0</v>
      </c>
      <c r="J142" s="70">
        <v>0</v>
      </c>
      <c r="K142" s="3000">
        <f t="shared" si="9"/>
        <v>0</v>
      </c>
      <c r="L142" s="70">
        <v>0</v>
      </c>
      <c r="M142" s="70">
        <v>0</v>
      </c>
      <c r="N142" s="70">
        <v>0</v>
      </c>
      <c r="O142" s="3000">
        <f t="shared" si="10"/>
        <v>0</v>
      </c>
      <c r="P142" s="70">
        <v>0</v>
      </c>
      <c r="Q142" s="70">
        <v>0</v>
      </c>
      <c r="R142" s="70">
        <v>0</v>
      </c>
      <c r="S142" s="3000">
        <f t="shared" si="11"/>
        <v>0</v>
      </c>
      <c r="T142" s="70" t="s">
        <v>1531</v>
      </c>
      <c r="V142" s="2921">
        <v>2</v>
      </c>
      <c r="W142" s="2921">
        <v>5</v>
      </c>
      <c r="X142" s="2921">
        <v>9</v>
      </c>
    </row>
    <row r="143" spans="1:30">
      <c r="A143" s="2891">
        <v>136</v>
      </c>
      <c r="B143" s="70" t="s">
        <v>1571</v>
      </c>
      <c r="C143" s="70">
        <v>0</v>
      </c>
      <c r="F143" s="70">
        <v>0</v>
      </c>
      <c r="G143" s="3000">
        <f t="shared" si="8"/>
        <v>0</v>
      </c>
      <c r="H143" s="70">
        <v>0</v>
      </c>
      <c r="I143" s="70">
        <v>0</v>
      </c>
      <c r="K143" s="3000">
        <f t="shared" si="9"/>
        <v>0</v>
      </c>
      <c r="L143" s="70">
        <v>0</v>
      </c>
      <c r="M143" s="70">
        <v>0</v>
      </c>
      <c r="N143" s="70">
        <v>0</v>
      </c>
      <c r="O143" s="3000">
        <f t="shared" si="10"/>
        <v>0</v>
      </c>
      <c r="P143" s="70">
        <v>0</v>
      </c>
      <c r="Q143" s="70">
        <v>0</v>
      </c>
      <c r="R143" s="70">
        <v>0</v>
      </c>
      <c r="S143" s="3000">
        <f t="shared" si="11"/>
        <v>0</v>
      </c>
      <c r="V143" s="2921">
        <v>2</v>
      </c>
      <c r="W143" s="2921">
        <v>5</v>
      </c>
      <c r="X143" s="2921">
        <v>9</v>
      </c>
    </row>
    <row r="144" spans="1:30">
      <c r="A144" s="2930">
        <v>137</v>
      </c>
      <c r="B144" s="70" t="s">
        <v>1576</v>
      </c>
      <c r="C144" s="70">
        <v>0</v>
      </c>
      <c r="D144" s="70">
        <v>0</v>
      </c>
      <c r="E144" s="70">
        <v>0</v>
      </c>
      <c r="F144" s="70">
        <v>0</v>
      </c>
      <c r="G144" s="3000">
        <f t="shared" si="8"/>
        <v>0</v>
      </c>
      <c r="H144" s="70">
        <v>0</v>
      </c>
      <c r="I144" s="70">
        <v>0</v>
      </c>
      <c r="J144" s="70">
        <v>0</v>
      </c>
      <c r="K144" s="3000">
        <f t="shared" si="9"/>
        <v>0</v>
      </c>
      <c r="L144" s="70">
        <v>0</v>
      </c>
      <c r="M144" s="70">
        <v>0</v>
      </c>
      <c r="N144" s="70">
        <v>0</v>
      </c>
      <c r="O144" s="3000">
        <f t="shared" si="10"/>
        <v>0</v>
      </c>
      <c r="P144" s="70">
        <v>0</v>
      </c>
      <c r="Q144" s="70">
        <v>0</v>
      </c>
      <c r="R144" s="70">
        <v>0</v>
      </c>
      <c r="S144" s="3000">
        <f t="shared" si="11"/>
        <v>0</v>
      </c>
      <c r="V144" s="2921">
        <v>2</v>
      </c>
      <c r="W144" s="2921">
        <v>5</v>
      </c>
      <c r="X144" s="2921">
        <v>9</v>
      </c>
    </row>
    <row r="145" spans="1:24">
      <c r="A145" s="2891">
        <v>138</v>
      </c>
      <c r="B145" s="70" t="s">
        <v>1586</v>
      </c>
      <c r="C145" s="70">
        <v>43500</v>
      </c>
      <c r="D145" s="70">
        <v>0</v>
      </c>
      <c r="E145" s="70">
        <v>0</v>
      </c>
      <c r="F145" s="70">
        <v>3150</v>
      </c>
      <c r="G145" s="3000">
        <f t="shared" si="8"/>
        <v>3150</v>
      </c>
      <c r="H145" s="70">
        <v>1250</v>
      </c>
      <c r="I145" s="70">
        <v>1250</v>
      </c>
      <c r="J145" s="70">
        <v>6900</v>
      </c>
      <c r="K145" s="3000">
        <f t="shared" si="9"/>
        <v>9400</v>
      </c>
      <c r="L145" s="70">
        <v>7400</v>
      </c>
      <c r="M145" s="70">
        <v>0</v>
      </c>
      <c r="N145" s="70">
        <v>6900</v>
      </c>
      <c r="O145" s="3000">
        <f t="shared" si="10"/>
        <v>14300</v>
      </c>
      <c r="P145" s="70">
        <v>16650</v>
      </c>
      <c r="Q145" s="70">
        <v>0</v>
      </c>
      <c r="R145" s="70">
        <v>0</v>
      </c>
      <c r="S145" s="3000">
        <f t="shared" si="11"/>
        <v>16650</v>
      </c>
      <c r="T145" s="70" t="s">
        <v>2212</v>
      </c>
      <c r="U145" s="70" t="s">
        <v>280</v>
      </c>
      <c r="V145" s="2921">
        <v>2</v>
      </c>
      <c r="W145" s="2921">
        <v>6</v>
      </c>
      <c r="X145" s="2921" t="s">
        <v>2256</v>
      </c>
    </row>
    <row r="146" spans="1:24">
      <c r="A146" s="2930">
        <v>139</v>
      </c>
      <c r="B146" s="70" t="s">
        <v>1608</v>
      </c>
      <c r="C146" s="70">
        <v>16800</v>
      </c>
      <c r="D146" s="70">
        <v>0</v>
      </c>
      <c r="E146" s="70">
        <v>0</v>
      </c>
      <c r="F146" s="70">
        <v>0</v>
      </c>
      <c r="G146" s="3000">
        <f t="shared" si="8"/>
        <v>0</v>
      </c>
      <c r="H146" s="70">
        <v>0</v>
      </c>
      <c r="I146" s="70">
        <v>8400</v>
      </c>
      <c r="J146" s="70">
        <v>0</v>
      </c>
      <c r="K146" s="3000">
        <f t="shared" si="9"/>
        <v>8400</v>
      </c>
      <c r="L146" s="70">
        <v>0</v>
      </c>
      <c r="M146" s="70">
        <v>0</v>
      </c>
      <c r="N146" s="70">
        <v>8400</v>
      </c>
      <c r="O146" s="3000">
        <f t="shared" si="10"/>
        <v>8400</v>
      </c>
      <c r="P146" s="70">
        <v>0</v>
      </c>
      <c r="Q146" s="70">
        <v>0</v>
      </c>
      <c r="R146" s="70">
        <v>0</v>
      </c>
      <c r="S146" s="3000">
        <f t="shared" si="11"/>
        <v>0</v>
      </c>
      <c r="T146" s="70" t="s">
        <v>2212</v>
      </c>
      <c r="U146" s="70" t="s">
        <v>280</v>
      </c>
      <c r="V146" s="2921">
        <v>2</v>
      </c>
      <c r="W146" s="2921">
        <v>6</v>
      </c>
      <c r="X146" s="2921">
        <v>17</v>
      </c>
    </row>
    <row r="147" spans="1:24">
      <c r="A147" s="2891">
        <v>140</v>
      </c>
      <c r="B147" s="70" t="s">
        <v>1618</v>
      </c>
      <c r="C147" s="70">
        <v>37440</v>
      </c>
      <c r="D147" s="70">
        <v>0</v>
      </c>
      <c r="E147" s="70">
        <v>0</v>
      </c>
      <c r="F147" s="70">
        <v>0</v>
      </c>
      <c r="G147" s="3000">
        <f t="shared" si="8"/>
        <v>0</v>
      </c>
      <c r="H147" s="70">
        <v>12480</v>
      </c>
      <c r="I147" s="70">
        <v>12480</v>
      </c>
      <c r="J147" s="70">
        <v>12480</v>
      </c>
      <c r="K147" s="3000">
        <f t="shared" si="9"/>
        <v>37440</v>
      </c>
      <c r="L147" s="70">
        <v>0</v>
      </c>
      <c r="M147" s="70">
        <v>0</v>
      </c>
      <c r="N147" s="70">
        <v>0</v>
      </c>
      <c r="O147" s="3000">
        <f t="shared" si="10"/>
        <v>0</v>
      </c>
      <c r="P147" s="70">
        <v>0</v>
      </c>
      <c r="Q147" s="70">
        <v>0</v>
      </c>
      <c r="R147" s="70">
        <v>0</v>
      </c>
      <c r="S147" s="3000">
        <f t="shared" si="11"/>
        <v>0</v>
      </c>
      <c r="T147" s="70" t="s">
        <v>2212</v>
      </c>
      <c r="U147" s="70" t="s">
        <v>280</v>
      </c>
      <c r="V147" s="2921">
        <v>2</v>
      </c>
      <c r="W147" s="2921">
        <v>7</v>
      </c>
      <c r="X147" s="2921">
        <v>20</v>
      </c>
    </row>
    <row r="148" spans="1:24">
      <c r="A148" s="2930">
        <v>141</v>
      </c>
      <c r="B148" s="70" t="s">
        <v>1629</v>
      </c>
      <c r="C148" s="70">
        <v>2000</v>
      </c>
      <c r="E148" s="70">
        <v>0</v>
      </c>
      <c r="F148" s="70">
        <v>0</v>
      </c>
      <c r="G148" s="3000">
        <f t="shared" si="8"/>
        <v>0</v>
      </c>
      <c r="H148" s="70">
        <v>1000</v>
      </c>
      <c r="K148" s="3000">
        <f t="shared" si="9"/>
        <v>1000</v>
      </c>
      <c r="O148" s="3000">
        <f t="shared" si="10"/>
        <v>0</v>
      </c>
      <c r="P148" s="70">
        <v>1000</v>
      </c>
      <c r="S148" s="3000">
        <f t="shared" si="11"/>
        <v>1000</v>
      </c>
      <c r="T148" s="70" t="s">
        <v>2212</v>
      </c>
      <c r="U148" s="70" t="s">
        <v>1048</v>
      </c>
      <c r="V148" s="2921">
        <v>2</v>
      </c>
      <c r="W148" s="2921">
        <v>8</v>
      </c>
      <c r="X148" s="2921">
        <v>21</v>
      </c>
    </row>
    <row r="149" spans="1:24">
      <c r="A149" s="2891">
        <v>142</v>
      </c>
      <c r="B149" s="70" t="s">
        <v>1637</v>
      </c>
      <c r="C149" s="70">
        <v>30000</v>
      </c>
      <c r="F149" s="70">
        <v>6000</v>
      </c>
      <c r="G149" s="3000">
        <f t="shared" si="8"/>
        <v>6000</v>
      </c>
      <c r="I149" s="70">
        <v>6000</v>
      </c>
      <c r="K149" s="3000">
        <f t="shared" si="9"/>
        <v>6000</v>
      </c>
      <c r="L149" s="70">
        <v>6000</v>
      </c>
      <c r="O149" s="3000">
        <f t="shared" si="10"/>
        <v>6000</v>
      </c>
      <c r="P149" s="70">
        <v>6000</v>
      </c>
      <c r="R149" s="70">
        <v>6000</v>
      </c>
      <c r="S149" s="3000">
        <f t="shared" si="11"/>
        <v>12000</v>
      </c>
      <c r="T149" s="70" t="s">
        <v>2212</v>
      </c>
      <c r="U149" s="70" t="s">
        <v>1048</v>
      </c>
      <c r="V149" s="2921">
        <v>2</v>
      </c>
      <c r="W149" s="2921">
        <v>8</v>
      </c>
      <c r="X149" s="2921">
        <v>28</v>
      </c>
    </row>
    <row r="150" spans="1:24">
      <c r="A150" s="2930">
        <v>143</v>
      </c>
      <c r="B150" s="70" t="s">
        <v>1643</v>
      </c>
      <c r="C150" s="70">
        <v>40800</v>
      </c>
      <c r="D150" s="70">
        <v>0</v>
      </c>
      <c r="E150" s="70">
        <v>13800</v>
      </c>
      <c r="F150" s="70">
        <v>2400</v>
      </c>
      <c r="G150" s="3000">
        <f t="shared" si="8"/>
        <v>16200</v>
      </c>
      <c r="H150" s="70">
        <v>12600</v>
      </c>
      <c r="I150" s="70">
        <v>1200</v>
      </c>
      <c r="J150" s="70">
        <v>2400</v>
      </c>
      <c r="K150" s="3000">
        <f t="shared" si="9"/>
        <v>16200</v>
      </c>
      <c r="L150" s="70">
        <v>2400</v>
      </c>
      <c r="M150" s="70">
        <v>2400</v>
      </c>
      <c r="N150" s="70">
        <v>1200</v>
      </c>
      <c r="O150" s="3000">
        <f t="shared" si="10"/>
        <v>6000</v>
      </c>
      <c r="P150" s="70">
        <v>1200</v>
      </c>
      <c r="Q150" s="70">
        <v>1200</v>
      </c>
      <c r="R150" s="70">
        <v>0</v>
      </c>
      <c r="S150" s="3000">
        <f t="shared" si="11"/>
        <v>2400</v>
      </c>
      <c r="T150" s="70" t="s">
        <v>2212</v>
      </c>
      <c r="U150" s="70" t="s">
        <v>280</v>
      </c>
      <c r="V150" s="2921">
        <v>4</v>
      </c>
      <c r="W150" s="2921">
        <v>11</v>
      </c>
      <c r="X150" s="2921">
        <v>33</v>
      </c>
    </row>
    <row r="151" spans="1:24">
      <c r="A151" s="2891">
        <v>144</v>
      </c>
      <c r="B151" s="70" t="s">
        <v>1655</v>
      </c>
      <c r="C151" s="70">
        <v>7200</v>
      </c>
      <c r="D151" s="70">
        <v>0</v>
      </c>
      <c r="E151" s="70">
        <v>3600</v>
      </c>
      <c r="F151" s="70">
        <v>0</v>
      </c>
      <c r="G151" s="3000">
        <f t="shared" si="8"/>
        <v>3600</v>
      </c>
      <c r="H151" s="70">
        <v>0</v>
      </c>
      <c r="I151" s="70">
        <v>0</v>
      </c>
      <c r="J151" s="70">
        <v>0</v>
      </c>
      <c r="K151" s="3000">
        <f t="shared" si="9"/>
        <v>0</v>
      </c>
      <c r="L151" s="70">
        <v>0</v>
      </c>
      <c r="M151" s="70">
        <v>0</v>
      </c>
      <c r="N151" s="70">
        <v>3600</v>
      </c>
      <c r="O151" s="3000">
        <f t="shared" si="10"/>
        <v>3600</v>
      </c>
      <c r="P151" s="70">
        <v>0</v>
      </c>
      <c r="Q151" s="70">
        <v>0</v>
      </c>
      <c r="R151" s="70">
        <v>0</v>
      </c>
      <c r="S151" s="3000">
        <f t="shared" si="11"/>
        <v>0</v>
      </c>
      <c r="T151" s="70" t="s">
        <v>2212</v>
      </c>
      <c r="U151" s="70" t="s">
        <v>280</v>
      </c>
      <c r="V151" s="2921">
        <v>4</v>
      </c>
      <c r="W151" s="2921">
        <v>11</v>
      </c>
      <c r="X151" s="2921">
        <v>33</v>
      </c>
    </row>
    <row r="152" spans="1:24">
      <c r="A152" s="2930">
        <v>145</v>
      </c>
      <c r="B152" s="70" t="s">
        <v>1660</v>
      </c>
      <c r="C152" s="70">
        <v>7200</v>
      </c>
      <c r="D152" s="70">
        <v>0</v>
      </c>
      <c r="E152" s="70">
        <v>3600</v>
      </c>
      <c r="F152" s="70">
        <v>0</v>
      </c>
      <c r="G152" s="3000">
        <f t="shared" si="8"/>
        <v>3600</v>
      </c>
      <c r="H152" s="70">
        <v>0</v>
      </c>
      <c r="I152" s="70">
        <v>0</v>
      </c>
      <c r="J152" s="70">
        <v>0</v>
      </c>
      <c r="K152" s="3000">
        <f t="shared" si="9"/>
        <v>0</v>
      </c>
      <c r="L152" s="70">
        <v>0</v>
      </c>
      <c r="M152" s="70">
        <v>0</v>
      </c>
      <c r="N152" s="70">
        <v>3600</v>
      </c>
      <c r="O152" s="3000">
        <f t="shared" si="10"/>
        <v>3600</v>
      </c>
      <c r="P152" s="70">
        <v>0</v>
      </c>
      <c r="Q152" s="70">
        <v>0</v>
      </c>
      <c r="R152" s="70">
        <v>0</v>
      </c>
      <c r="S152" s="3000">
        <f t="shared" si="11"/>
        <v>0</v>
      </c>
      <c r="T152" s="70" t="s">
        <v>2212</v>
      </c>
      <c r="U152" s="70" t="s">
        <v>280</v>
      </c>
      <c r="V152" s="2921">
        <v>4</v>
      </c>
      <c r="W152" s="2921">
        <v>11</v>
      </c>
      <c r="X152" s="2921">
        <v>33</v>
      </c>
    </row>
    <row r="153" spans="1:24">
      <c r="A153" s="2891">
        <v>146</v>
      </c>
      <c r="B153" s="70" t="s">
        <v>1665</v>
      </c>
      <c r="C153" s="70">
        <v>35400</v>
      </c>
      <c r="D153" s="70">
        <v>0</v>
      </c>
      <c r="E153" s="70">
        <v>0</v>
      </c>
      <c r="F153" s="70">
        <v>7200</v>
      </c>
      <c r="G153" s="3000">
        <f t="shared" si="8"/>
        <v>7200</v>
      </c>
      <c r="H153" s="70">
        <v>7200</v>
      </c>
      <c r="I153" s="70">
        <v>6600</v>
      </c>
      <c r="J153" s="70">
        <v>0</v>
      </c>
      <c r="K153" s="3000">
        <f t="shared" si="9"/>
        <v>13800</v>
      </c>
      <c r="L153" s="70">
        <v>7200</v>
      </c>
      <c r="M153" s="70">
        <v>0</v>
      </c>
      <c r="N153" s="70">
        <v>0</v>
      </c>
      <c r="O153" s="3000">
        <f t="shared" si="10"/>
        <v>7200</v>
      </c>
      <c r="P153" s="70">
        <v>0</v>
      </c>
      <c r="Q153" s="70">
        <v>7200</v>
      </c>
      <c r="S153" s="3000">
        <f t="shared" si="11"/>
        <v>7200</v>
      </c>
      <c r="T153" s="70" t="s">
        <v>2212</v>
      </c>
      <c r="U153" s="70" t="s">
        <v>280</v>
      </c>
      <c r="V153" s="2921">
        <v>4</v>
      </c>
      <c r="W153" s="2921">
        <v>11</v>
      </c>
      <c r="X153" s="2921">
        <v>33</v>
      </c>
    </row>
    <row r="154" spans="1:24">
      <c r="A154" s="2930">
        <v>147</v>
      </c>
      <c r="B154" s="70" t="s">
        <v>1680</v>
      </c>
      <c r="C154" s="70">
        <v>2000</v>
      </c>
      <c r="D154" s="70">
        <v>0</v>
      </c>
      <c r="E154" s="70">
        <v>0</v>
      </c>
      <c r="F154" s="70">
        <v>500</v>
      </c>
      <c r="G154" s="3000">
        <f t="shared" si="8"/>
        <v>500</v>
      </c>
      <c r="H154" s="70">
        <v>500</v>
      </c>
      <c r="I154" s="70">
        <v>0</v>
      </c>
      <c r="J154" s="70">
        <v>0</v>
      </c>
      <c r="K154" s="3000">
        <f t="shared" si="9"/>
        <v>500</v>
      </c>
      <c r="L154" s="70">
        <v>500</v>
      </c>
      <c r="M154" s="70">
        <v>0</v>
      </c>
      <c r="N154" s="70">
        <v>0</v>
      </c>
      <c r="O154" s="3000">
        <f t="shared" si="10"/>
        <v>500</v>
      </c>
      <c r="P154" s="70">
        <v>0</v>
      </c>
      <c r="Q154" s="70">
        <v>500</v>
      </c>
      <c r="R154" s="70">
        <v>0</v>
      </c>
      <c r="S154" s="3000">
        <f t="shared" si="11"/>
        <v>500</v>
      </c>
      <c r="T154" s="70" t="s">
        <v>2212</v>
      </c>
      <c r="U154" s="70" t="s">
        <v>280</v>
      </c>
      <c r="V154" s="2921">
        <v>4</v>
      </c>
      <c r="W154" s="2921">
        <v>11</v>
      </c>
      <c r="X154" s="2921">
        <v>33</v>
      </c>
    </row>
    <row r="155" spans="1:24">
      <c r="A155" s="2891">
        <v>148</v>
      </c>
      <c r="B155" s="70" t="s">
        <v>1689</v>
      </c>
      <c r="C155" s="70">
        <v>94200</v>
      </c>
      <c r="D155" s="70">
        <v>94200</v>
      </c>
      <c r="E155" s="70">
        <v>0</v>
      </c>
      <c r="F155" s="70">
        <v>0</v>
      </c>
      <c r="G155" s="3000">
        <f t="shared" si="8"/>
        <v>94200</v>
      </c>
      <c r="H155" s="70">
        <v>0</v>
      </c>
      <c r="I155" s="70">
        <v>0</v>
      </c>
      <c r="J155" s="70">
        <v>0</v>
      </c>
      <c r="K155" s="3000">
        <f t="shared" si="9"/>
        <v>0</v>
      </c>
      <c r="L155" s="70">
        <v>0</v>
      </c>
      <c r="M155" s="70">
        <v>0</v>
      </c>
      <c r="N155" s="70">
        <v>0</v>
      </c>
      <c r="O155" s="3000">
        <f t="shared" si="10"/>
        <v>0</v>
      </c>
      <c r="P155" s="70">
        <v>0</v>
      </c>
      <c r="Q155" s="70">
        <v>0</v>
      </c>
      <c r="R155" s="70">
        <v>0</v>
      </c>
      <c r="S155" s="3000">
        <f t="shared" si="11"/>
        <v>0</v>
      </c>
      <c r="T155" s="70" t="s">
        <v>2212</v>
      </c>
      <c r="U155" s="70" t="s">
        <v>280</v>
      </c>
      <c r="V155" s="2921">
        <v>1</v>
      </c>
      <c r="W155" s="2921">
        <v>2</v>
      </c>
      <c r="X155" s="2921">
        <v>2</v>
      </c>
    </row>
    <row r="156" spans="1:24">
      <c r="A156" s="2930">
        <v>149</v>
      </c>
      <c r="B156" s="70" t="s">
        <v>1697</v>
      </c>
      <c r="C156" s="70">
        <v>9600</v>
      </c>
      <c r="D156" s="70">
        <v>0</v>
      </c>
      <c r="E156" s="70">
        <v>0</v>
      </c>
      <c r="F156" s="70">
        <v>0</v>
      </c>
      <c r="G156" s="3000">
        <f t="shared" si="8"/>
        <v>0</v>
      </c>
      <c r="H156" s="70">
        <v>9600</v>
      </c>
      <c r="I156" s="70">
        <v>0</v>
      </c>
      <c r="J156" s="70">
        <v>0</v>
      </c>
      <c r="K156" s="3000">
        <f t="shared" si="9"/>
        <v>9600</v>
      </c>
      <c r="L156" s="70">
        <v>0</v>
      </c>
      <c r="M156" s="70">
        <v>0</v>
      </c>
      <c r="N156" s="70">
        <v>0</v>
      </c>
      <c r="O156" s="3000">
        <f t="shared" si="10"/>
        <v>0</v>
      </c>
      <c r="P156" s="70">
        <v>0</v>
      </c>
      <c r="Q156" s="70">
        <v>0</v>
      </c>
      <c r="R156" s="70">
        <v>0</v>
      </c>
      <c r="S156" s="3000">
        <f t="shared" si="11"/>
        <v>0</v>
      </c>
      <c r="T156" s="70" t="s">
        <v>2212</v>
      </c>
      <c r="U156" s="70" t="s">
        <v>280</v>
      </c>
      <c r="V156" s="2921">
        <v>1</v>
      </c>
      <c r="W156" s="2921">
        <v>2</v>
      </c>
      <c r="X156" s="2921">
        <v>2</v>
      </c>
    </row>
    <row r="157" spans="1:24">
      <c r="A157" s="2891">
        <v>150</v>
      </c>
      <c r="B157" s="70" t="s">
        <v>1703</v>
      </c>
      <c r="C157" s="70">
        <v>6000</v>
      </c>
      <c r="D157" s="70">
        <v>0</v>
      </c>
      <c r="E157" s="70">
        <v>0</v>
      </c>
      <c r="F157" s="70">
        <v>0</v>
      </c>
      <c r="G157" s="3000">
        <f t="shared" si="8"/>
        <v>0</v>
      </c>
      <c r="H157" s="70">
        <v>6000</v>
      </c>
      <c r="I157" s="70">
        <v>0</v>
      </c>
      <c r="J157" s="70">
        <v>0</v>
      </c>
      <c r="K157" s="3000">
        <f t="shared" si="9"/>
        <v>6000</v>
      </c>
      <c r="L157" s="70">
        <v>0</v>
      </c>
      <c r="M157" s="70">
        <v>0</v>
      </c>
      <c r="N157" s="70">
        <v>0</v>
      </c>
      <c r="O157" s="3000">
        <f t="shared" si="10"/>
        <v>0</v>
      </c>
      <c r="P157" s="70">
        <v>0</v>
      </c>
      <c r="Q157" s="70">
        <v>0</v>
      </c>
      <c r="R157" s="70">
        <v>0</v>
      </c>
      <c r="S157" s="3000">
        <f t="shared" si="11"/>
        <v>0</v>
      </c>
      <c r="T157" s="70" t="s">
        <v>2212</v>
      </c>
      <c r="U157" s="70" t="s">
        <v>280</v>
      </c>
      <c r="V157" s="2921">
        <v>1</v>
      </c>
      <c r="W157" s="2921">
        <v>2</v>
      </c>
      <c r="X157" s="2921">
        <v>2</v>
      </c>
    </row>
    <row r="158" spans="1:24">
      <c r="A158" s="2930">
        <v>151</v>
      </c>
      <c r="B158" s="70" t="s">
        <v>1708</v>
      </c>
      <c r="C158" s="70">
        <v>4800</v>
      </c>
      <c r="D158" s="70">
        <v>0</v>
      </c>
      <c r="E158" s="70">
        <v>0</v>
      </c>
      <c r="F158" s="70">
        <v>0</v>
      </c>
      <c r="G158" s="3000">
        <f t="shared" si="8"/>
        <v>0</v>
      </c>
      <c r="H158" s="70">
        <v>0</v>
      </c>
      <c r="I158" s="70">
        <v>4800</v>
      </c>
      <c r="J158" s="70">
        <v>0</v>
      </c>
      <c r="K158" s="3000">
        <f t="shared" si="9"/>
        <v>4800</v>
      </c>
      <c r="L158" s="70">
        <v>0</v>
      </c>
      <c r="M158" s="70">
        <v>0</v>
      </c>
      <c r="N158" s="70">
        <v>0</v>
      </c>
      <c r="O158" s="3000">
        <f t="shared" si="10"/>
        <v>0</v>
      </c>
      <c r="P158" s="70">
        <v>0</v>
      </c>
      <c r="Q158" s="70">
        <v>0</v>
      </c>
      <c r="R158" s="70">
        <v>0</v>
      </c>
      <c r="S158" s="3000">
        <f t="shared" si="11"/>
        <v>0</v>
      </c>
      <c r="T158" s="70" t="s">
        <v>2212</v>
      </c>
      <c r="U158" s="70" t="s">
        <v>280</v>
      </c>
      <c r="V158" s="2921">
        <v>1</v>
      </c>
      <c r="W158" s="2921">
        <v>2</v>
      </c>
      <c r="X158" s="2921">
        <v>2</v>
      </c>
    </row>
    <row r="159" spans="1:24">
      <c r="A159" s="2891">
        <v>152</v>
      </c>
      <c r="B159" s="70" t="s">
        <v>1713</v>
      </c>
      <c r="C159" s="70">
        <v>28800</v>
      </c>
      <c r="D159" s="70">
        <v>0</v>
      </c>
      <c r="E159" s="70">
        <v>0</v>
      </c>
      <c r="F159" s="70">
        <v>7200</v>
      </c>
      <c r="G159" s="3000">
        <f t="shared" si="8"/>
        <v>7200</v>
      </c>
      <c r="H159" s="70">
        <v>0</v>
      </c>
      <c r="I159" s="70">
        <v>7200</v>
      </c>
      <c r="J159" s="70">
        <v>0</v>
      </c>
      <c r="K159" s="3000">
        <f t="shared" si="9"/>
        <v>7200</v>
      </c>
      <c r="L159" s="70">
        <v>7200</v>
      </c>
      <c r="M159" s="70">
        <v>0</v>
      </c>
      <c r="N159" s="70">
        <v>7200</v>
      </c>
      <c r="O159" s="3000">
        <f t="shared" si="10"/>
        <v>14400</v>
      </c>
      <c r="P159" s="70">
        <v>0</v>
      </c>
      <c r="Q159" s="70">
        <v>0</v>
      </c>
      <c r="R159" s="70">
        <v>0</v>
      </c>
      <c r="S159" s="3000">
        <f t="shared" si="11"/>
        <v>0</v>
      </c>
      <c r="T159" s="70" t="s">
        <v>2212</v>
      </c>
      <c r="U159" s="70" t="s">
        <v>280</v>
      </c>
      <c r="V159" s="2921">
        <v>1</v>
      </c>
      <c r="W159" s="2921">
        <v>2</v>
      </c>
      <c r="X159" s="2921">
        <v>2</v>
      </c>
    </row>
    <row r="160" spans="1:24">
      <c r="A160" s="2930">
        <v>153</v>
      </c>
      <c r="B160" s="70" t="s">
        <v>2257</v>
      </c>
      <c r="C160" s="70">
        <v>10920</v>
      </c>
      <c r="D160" s="70">
        <v>0</v>
      </c>
      <c r="E160" s="70">
        <v>0</v>
      </c>
      <c r="F160" s="70">
        <v>0</v>
      </c>
      <c r="G160" s="3000">
        <f t="shared" si="8"/>
        <v>0</v>
      </c>
      <c r="H160" s="70">
        <v>0</v>
      </c>
      <c r="I160" s="70">
        <v>0</v>
      </c>
      <c r="J160" s="70">
        <v>0</v>
      </c>
      <c r="K160" s="3000">
        <f t="shared" si="9"/>
        <v>0</v>
      </c>
      <c r="L160" s="70">
        <v>10920</v>
      </c>
      <c r="M160" s="70">
        <v>0</v>
      </c>
      <c r="N160" s="70">
        <v>0</v>
      </c>
      <c r="O160" s="3000">
        <f t="shared" si="10"/>
        <v>10920</v>
      </c>
      <c r="P160" s="70">
        <v>0</v>
      </c>
      <c r="Q160" s="70">
        <v>0</v>
      </c>
      <c r="R160" s="70">
        <v>0</v>
      </c>
      <c r="S160" s="3000">
        <f t="shared" si="11"/>
        <v>0</v>
      </c>
      <c r="T160" s="70" t="s">
        <v>2212</v>
      </c>
      <c r="U160" s="70" t="s">
        <v>1048</v>
      </c>
      <c r="V160" s="2921">
        <v>1</v>
      </c>
      <c r="W160" s="2921">
        <v>5</v>
      </c>
      <c r="X160" s="2921">
        <v>8</v>
      </c>
    </row>
    <row r="161" spans="1:24">
      <c r="A161" s="2891">
        <v>154</v>
      </c>
      <c r="B161" s="70" t="s">
        <v>1729</v>
      </c>
      <c r="C161" s="70">
        <v>16750</v>
      </c>
      <c r="D161" s="70">
        <v>0</v>
      </c>
      <c r="E161" s="70">
        <v>0</v>
      </c>
      <c r="F161" s="70">
        <v>2000</v>
      </c>
      <c r="G161" s="3000">
        <f t="shared" si="8"/>
        <v>2000</v>
      </c>
      <c r="H161" s="70">
        <v>0</v>
      </c>
      <c r="I161" s="70">
        <v>11175</v>
      </c>
      <c r="J161" s="70">
        <v>3575</v>
      </c>
      <c r="K161" s="3000">
        <f t="shared" si="9"/>
        <v>14750</v>
      </c>
      <c r="L161" s="70">
        <v>0</v>
      </c>
      <c r="M161" s="70">
        <v>0</v>
      </c>
      <c r="N161" s="70">
        <v>0</v>
      </c>
      <c r="O161" s="3000">
        <f t="shared" si="10"/>
        <v>0</v>
      </c>
      <c r="P161" s="70">
        <v>0</v>
      </c>
      <c r="Q161" s="70">
        <v>0</v>
      </c>
      <c r="R161" s="70">
        <v>0</v>
      </c>
      <c r="S161" s="3000">
        <f t="shared" si="11"/>
        <v>0</v>
      </c>
      <c r="T161" s="70" t="s">
        <v>1900</v>
      </c>
      <c r="U161" s="70" t="s">
        <v>1048</v>
      </c>
      <c r="V161" s="2921">
        <v>1</v>
      </c>
      <c r="W161" s="2921">
        <v>3</v>
      </c>
      <c r="X161" s="2921">
        <v>5</v>
      </c>
    </row>
    <row r="162" spans="1:24">
      <c r="A162" s="2930">
        <v>155</v>
      </c>
      <c r="B162" s="70" t="s">
        <v>1748</v>
      </c>
      <c r="C162" s="70">
        <v>17300</v>
      </c>
      <c r="D162" s="70">
        <v>0</v>
      </c>
      <c r="E162" s="70">
        <v>0</v>
      </c>
      <c r="F162" s="70">
        <v>0</v>
      </c>
      <c r="G162" s="3000">
        <f t="shared" si="8"/>
        <v>0</v>
      </c>
      <c r="H162" s="70">
        <v>0</v>
      </c>
      <c r="I162" s="70">
        <v>0</v>
      </c>
      <c r="J162" s="70">
        <v>17300</v>
      </c>
      <c r="K162" s="3000">
        <f t="shared" si="9"/>
        <v>17300</v>
      </c>
      <c r="L162" s="70">
        <v>0</v>
      </c>
      <c r="M162" s="70">
        <v>0</v>
      </c>
      <c r="N162" s="70">
        <v>0</v>
      </c>
      <c r="O162" s="3000">
        <f t="shared" si="10"/>
        <v>0</v>
      </c>
      <c r="P162" s="70">
        <v>0</v>
      </c>
      <c r="Q162" s="70">
        <v>0</v>
      </c>
      <c r="R162" s="70">
        <v>0</v>
      </c>
      <c r="S162" s="3000">
        <f t="shared" si="11"/>
        <v>0</v>
      </c>
      <c r="T162" s="70" t="s">
        <v>1900</v>
      </c>
      <c r="U162" s="70" t="s">
        <v>1048</v>
      </c>
      <c r="V162" s="2921">
        <v>1</v>
      </c>
      <c r="W162" s="2921">
        <v>3</v>
      </c>
      <c r="X162" s="2921">
        <v>5</v>
      </c>
    </row>
    <row r="163" spans="1:24">
      <c r="A163" s="2891">
        <v>156</v>
      </c>
      <c r="B163" s="70" t="s">
        <v>1763</v>
      </c>
      <c r="C163" s="70">
        <v>11100</v>
      </c>
      <c r="D163" s="70">
        <v>0</v>
      </c>
      <c r="E163" s="70">
        <v>0</v>
      </c>
      <c r="F163" s="70">
        <v>0</v>
      </c>
      <c r="G163" s="3000">
        <f t="shared" si="8"/>
        <v>0</v>
      </c>
      <c r="H163" s="70">
        <v>11100</v>
      </c>
      <c r="I163" s="70">
        <v>0</v>
      </c>
      <c r="J163" s="70">
        <v>0</v>
      </c>
      <c r="K163" s="3000">
        <f t="shared" si="9"/>
        <v>11100</v>
      </c>
      <c r="L163" s="70">
        <v>0</v>
      </c>
      <c r="M163" s="70">
        <v>0</v>
      </c>
      <c r="N163" s="70">
        <v>0</v>
      </c>
      <c r="O163" s="3000">
        <f t="shared" si="10"/>
        <v>0</v>
      </c>
      <c r="P163" s="70">
        <v>0</v>
      </c>
      <c r="Q163" s="70">
        <v>0</v>
      </c>
      <c r="R163" s="70">
        <v>0</v>
      </c>
      <c r="S163" s="3000">
        <f t="shared" si="11"/>
        <v>0</v>
      </c>
      <c r="T163" s="70" t="s">
        <v>1900</v>
      </c>
      <c r="U163" s="70" t="s">
        <v>1048</v>
      </c>
      <c r="V163" s="2921">
        <v>1</v>
      </c>
      <c r="W163" s="2921">
        <v>4</v>
      </c>
      <c r="X163" s="2921">
        <v>7</v>
      </c>
    </row>
    <row r="164" spans="1:24">
      <c r="A164" s="2930">
        <v>157</v>
      </c>
      <c r="B164" s="70" t="s">
        <v>1771</v>
      </c>
      <c r="C164" s="70">
        <v>5700</v>
      </c>
      <c r="D164" s="70">
        <v>0</v>
      </c>
      <c r="E164" s="70">
        <v>0</v>
      </c>
      <c r="F164" s="70">
        <v>5700</v>
      </c>
      <c r="G164" s="3000">
        <f t="shared" si="8"/>
        <v>5700</v>
      </c>
      <c r="H164" s="70">
        <v>0</v>
      </c>
      <c r="I164" s="70">
        <v>0</v>
      </c>
      <c r="J164" s="70">
        <v>0</v>
      </c>
      <c r="K164" s="3000">
        <f t="shared" si="9"/>
        <v>0</v>
      </c>
      <c r="L164" s="70">
        <v>0</v>
      </c>
      <c r="M164" s="70">
        <v>0</v>
      </c>
      <c r="N164" s="70">
        <v>0</v>
      </c>
      <c r="O164" s="3000">
        <f t="shared" si="10"/>
        <v>0</v>
      </c>
      <c r="P164" s="70">
        <v>0</v>
      </c>
      <c r="Q164" s="70">
        <v>0</v>
      </c>
      <c r="R164" s="70">
        <v>0</v>
      </c>
      <c r="S164" s="3000">
        <f t="shared" si="11"/>
        <v>0</v>
      </c>
      <c r="T164" s="70" t="s">
        <v>1900</v>
      </c>
      <c r="U164" s="70" t="s">
        <v>1048</v>
      </c>
      <c r="V164" s="2921">
        <v>1</v>
      </c>
      <c r="W164" s="2921">
        <v>4</v>
      </c>
      <c r="X164" s="2921">
        <v>7</v>
      </c>
    </row>
    <row r="165" spans="1:24">
      <c r="A165" s="2891">
        <v>158</v>
      </c>
      <c r="B165" s="70" t="s">
        <v>1775</v>
      </c>
      <c r="C165" s="70">
        <v>12240</v>
      </c>
      <c r="D165" s="70">
        <v>0</v>
      </c>
      <c r="E165" s="70">
        <v>0</v>
      </c>
      <c r="F165" s="70">
        <v>0</v>
      </c>
      <c r="G165" s="3000">
        <f t="shared" si="8"/>
        <v>0</v>
      </c>
      <c r="H165" s="70">
        <v>0</v>
      </c>
      <c r="I165" s="70">
        <v>0</v>
      </c>
      <c r="J165" s="70">
        <v>12240</v>
      </c>
      <c r="K165" s="3000">
        <f t="shared" si="9"/>
        <v>12240</v>
      </c>
      <c r="L165" s="70">
        <v>0</v>
      </c>
      <c r="M165" s="70">
        <v>0</v>
      </c>
      <c r="N165" s="70">
        <v>0</v>
      </c>
      <c r="O165" s="3000">
        <f t="shared" si="10"/>
        <v>0</v>
      </c>
      <c r="P165" s="70">
        <v>0</v>
      </c>
      <c r="Q165" s="70">
        <v>0</v>
      </c>
      <c r="R165" s="70">
        <v>0</v>
      </c>
      <c r="S165" s="3000">
        <f t="shared" si="11"/>
        <v>0</v>
      </c>
      <c r="T165" s="70" t="s">
        <v>1900</v>
      </c>
      <c r="U165" s="70" t="s">
        <v>1048</v>
      </c>
      <c r="V165" s="2921">
        <v>1</v>
      </c>
      <c r="W165" s="2921">
        <v>4</v>
      </c>
      <c r="X165" s="2921">
        <v>7</v>
      </c>
    </row>
    <row r="166" spans="1:24">
      <c r="A166" s="2930">
        <v>159</v>
      </c>
      <c r="B166" s="70" t="s">
        <v>3000</v>
      </c>
      <c r="C166" s="70">
        <v>5000</v>
      </c>
      <c r="D166" s="70">
        <v>0</v>
      </c>
      <c r="E166" s="70">
        <v>0</v>
      </c>
      <c r="F166" s="70">
        <v>5000</v>
      </c>
      <c r="G166" s="3000">
        <f t="shared" si="8"/>
        <v>5000</v>
      </c>
      <c r="H166" s="70">
        <v>0</v>
      </c>
      <c r="I166" s="70">
        <v>0</v>
      </c>
      <c r="J166" s="70">
        <v>0</v>
      </c>
      <c r="K166" s="3000">
        <f t="shared" si="9"/>
        <v>0</v>
      </c>
      <c r="L166" s="70">
        <v>0</v>
      </c>
      <c r="M166" s="70">
        <v>0</v>
      </c>
      <c r="N166" s="70">
        <v>0</v>
      </c>
      <c r="O166" s="3000">
        <f t="shared" si="10"/>
        <v>0</v>
      </c>
      <c r="P166" s="70">
        <v>0</v>
      </c>
      <c r="Q166" s="70">
        <v>0</v>
      </c>
      <c r="R166" s="70">
        <v>0</v>
      </c>
      <c r="S166" s="3000">
        <f t="shared" si="11"/>
        <v>0</v>
      </c>
      <c r="T166" s="70" t="s">
        <v>1900</v>
      </c>
      <c r="U166" s="70" t="s">
        <v>1048</v>
      </c>
      <c r="V166" s="2921">
        <v>1</v>
      </c>
      <c r="W166" s="2921">
        <v>4</v>
      </c>
      <c r="X166" s="2921">
        <v>7</v>
      </c>
    </row>
    <row r="167" spans="1:24">
      <c r="A167" s="2891">
        <v>160</v>
      </c>
      <c r="B167" s="70" t="s">
        <v>1786</v>
      </c>
      <c r="C167" s="70">
        <v>65100</v>
      </c>
      <c r="D167" s="70">
        <v>0</v>
      </c>
      <c r="E167" s="70">
        <v>0</v>
      </c>
      <c r="F167" s="70">
        <v>33000</v>
      </c>
      <c r="G167" s="3000">
        <f t="shared" si="8"/>
        <v>33000</v>
      </c>
      <c r="H167" s="70">
        <v>13700</v>
      </c>
      <c r="I167" s="70">
        <v>0</v>
      </c>
      <c r="J167" s="70">
        <v>16600</v>
      </c>
      <c r="K167" s="3000">
        <f t="shared" si="9"/>
        <v>30300</v>
      </c>
      <c r="L167" s="70">
        <v>0</v>
      </c>
      <c r="M167" s="70">
        <v>900</v>
      </c>
      <c r="N167" s="70">
        <v>0</v>
      </c>
      <c r="O167" s="3000">
        <f t="shared" si="10"/>
        <v>900</v>
      </c>
      <c r="P167" s="70">
        <v>900</v>
      </c>
      <c r="Q167" s="70">
        <v>0</v>
      </c>
      <c r="R167" s="70">
        <v>0</v>
      </c>
      <c r="S167" s="3000">
        <f t="shared" si="11"/>
        <v>900</v>
      </c>
      <c r="T167" s="70" t="s">
        <v>1900</v>
      </c>
      <c r="U167" s="70" t="s">
        <v>1048</v>
      </c>
      <c r="V167" s="2921">
        <v>1</v>
      </c>
      <c r="W167" s="2921">
        <v>3</v>
      </c>
      <c r="X167" s="2921">
        <v>5</v>
      </c>
    </row>
    <row r="168" spans="1:24">
      <c r="A168" s="2930">
        <v>161</v>
      </c>
      <c r="B168" s="70" t="s">
        <v>1814</v>
      </c>
      <c r="C168" s="70">
        <v>87800</v>
      </c>
      <c r="D168" s="70">
        <v>0</v>
      </c>
      <c r="E168" s="70">
        <v>0</v>
      </c>
      <c r="F168" s="70">
        <v>0</v>
      </c>
      <c r="G168" s="3000">
        <f t="shared" si="8"/>
        <v>0</v>
      </c>
      <c r="H168" s="70">
        <v>0</v>
      </c>
      <c r="I168" s="70">
        <v>0</v>
      </c>
      <c r="J168" s="70">
        <v>87800</v>
      </c>
      <c r="K168" s="3000">
        <f t="shared" si="9"/>
        <v>87800</v>
      </c>
      <c r="L168" s="70">
        <v>0</v>
      </c>
      <c r="M168" s="70">
        <v>0</v>
      </c>
      <c r="N168" s="70">
        <v>0</v>
      </c>
      <c r="O168" s="3000">
        <f t="shared" si="10"/>
        <v>0</v>
      </c>
      <c r="P168" s="70">
        <v>0</v>
      </c>
      <c r="Q168" s="70">
        <v>0</v>
      </c>
      <c r="R168" s="70">
        <v>0</v>
      </c>
      <c r="S168" s="3000">
        <f t="shared" si="11"/>
        <v>0</v>
      </c>
      <c r="T168" s="70" t="s">
        <v>1900</v>
      </c>
      <c r="U168" s="70" t="s">
        <v>1048</v>
      </c>
      <c r="V168" s="2921">
        <v>1</v>
      </c>
      <c r="W168" s="2921">
        <v>3</v>
      </c>
      <c r="X168" s="2921">
        <v>6</v>
      </c>
    </row>
    <row r="169" spans="1:24">
      <c r="A169" s="2891">
        <v>162</v>
      </c>
      <c r="B169" s="70" t="s">
        <v>1823</v>
      </c>
      <c r="C169" s="70">
        <v>12000</v>
      </c>
      <c r="D169" s="70">
        <v>0</v>
      </c>
      <c r="E169" s="70">
        <v>0</v>
      </c>
      <c r="F169" s="70">
        <v>0</v>
      </c>
      <c r="G169" s="3000">
        <f t="shared" si="8"/>
        <v>0</v>
      </c>
      <c r="H169" s="70">
        <v>0</v>
      </c>
      <c r="I169" s="70">
        <v>0</v>
      </c>
      <c r="J169" s="70">
        <v>12000</v>
      </c>
      <c r="K169" s="3000">
        <f t="shared" si="9"/>
        <v>12000</v>
      </c>
      <c r="L169" s="70">
        <v>0</v>
      </c>
      <c r="M169" s="70">
        <v>0</v>
      </c>
      <c r="N169" s="70">
        <v>0</v>
      </c>
      <c r="O169" s="3000">
        <f t="shared" si="10"/>
        <v>0</v>
      </c>
      <c r="P169" s="70">
        <v>0</v>
      </c>
      <c r="Q169" s="70">
        <v>0</v>
      </c>
      <c r="R169" s="70">
        <v>0</v>
      </c>
      <c r="S169" s="3000">
        <f t="shared" si="11"/>
        <v>0</v>
      </c>
      <c r="T169" s="70" t="s">
        <v>1900</v>
      </c>
      <c r="U169" s="70" t="s">
        <v>1048</v>
      </c>
      <c r="V169" s="2921">
        <v>1</v>
      </c>
      <c r="W169" s="2921">
        <v>3</v>
      </c>
      <c r="X169" s="2921">
        <v>6</v>
      </c>
    </row>
    <row r="170" spans="1:24">
      <c r="A170" s="2930">
        <v>163</v>
      </c>
      <c r="B170" s="70" t="s">
        <v>1828</v>
      </c>
      <c r="C170" s="70">
        <v>32736</v>
      </c>
      <c r="D170" s="70">
        <v>0</v>
      </c>
      <c r="E170" s="70">
        <v>0</v>
      </c>
      <c r="F170" s="70">
        <v>0</v>
      </c>
      <c r="G170" s="3000">
        <f t="shared" si="8"/>
        <v>0</v>
      </c>
      <c r="H170" s="70">
        <v>2000</v>
      </c>
      <c r="I170" s="70">
        <v>2000</v>
      </c>
      <c r="J170" s="70">
        <v>20986</v>
      </c>
      <c r="K170" s="3000">
        <f t="shared" si="9"/>
        <v>24986</v>
      </c>
      <c r="L170" s="70">
        <v>0</v>
      </c>
      <c r="M170" s="70">
        <v>0</v>
      </c>
      <c r="N170" s="70">
        <v>3000</v>
      </c>
      <c r="O170" s="3000">
        <f t="shared" si="10"/>
        <v>3000</v>
      </c>
      <c r="P170" s="70">
        <v>0</v>
      </c>
      <c r="Q170" s="70">
        <v>4750</v>
      </c>
      <c r="R170" s="70">
        <v>0</v>
      </c>
      <c r="S170" s="3000">
        <f t="shared" si="11"/>
        <v>4750</v>
      </c>
      <c r="T170" s="70" t="s">
        <v>1900</v>
      </c>
      <c r="U170" s="70" t="s">
        <v>1048</v>
      </c>
      <c r="V170" s="2921">
        <v>1</v>
      </c>
      <c r="W170" s="2921">
        <v>4</v>
      </c>
      <c r="X170" s="2921">
        <v>7</v>
      </c>
    </row>
    <row r="171" spans="1:24">
      <c r="A171" s="2891">
        <v>164</v>
      </c>
      <c r="B171" s="70" t="s">
        <v>1848</v>
      </c>
      <c r="C171" s="70">
        <v>26260</v>
      </c>
      <c r="D171" s="70">
        <v>0</v>
      </c>
      <c r="E171" s="70">
        <v>0</v>
      </c>
      <c r="F171" s="70">
        <v>5500</v>
      </c>
      <c r="G171" s="3000">
        <f t="shared" si="8"/>
        <v>5500</v>
      </c>
      <c r="H171" s="70">
        <v>0</v>
      </c>
      <c r="I171" s="70">
        <v>9500</v>
      </c>
      <c r="J171" s="70">
        <v>500</v>
      </c>
      <c r="K171" s="3000">
        <f t="shared" si="9"/>
        <v>10000</v>
      </c>
      <c r="L171" s="70">
        <v>0</v>
      </c>
      <c r="M171" s="70">
        <v>0</v>
      </c>
      <c r="N171" s="70">
        <v>10000</v>
      </c>
      <c r="O171" s="3000">
        <f t="shared" si="10"/>
        <v>10000</v>
      </c>
      <c r="P171" s="70">
        <v>0</v>
      </c>
      <c r="Q171" s="70">
        <v>260</v>
      </c>
      <c r="R171" s="70">
        <v>500</v>
      </c>
      <c r="S171" s="3000">
        <f t="shared" si="11"/>
        <v>760</v>
      </c>
      <c r="T171" s="70" t="s">
        <v>1900</v>
      </c>
      <c r="U171" s="70" t="s">
        <v>1048</v>
      </c>
      <c r="V171" s="2921">
        <v>1</v>
      </c>
      <c r="W171" s="2921">
        <v>4</v>
      </c>
      <c r="X171" s="2921">
        <v>7</v>
      </c>
    </row>
    <row r="172" spans="1:24">
      <c r="A172" s="2930">
        <v>165</v>
      </c>
      <c r="B172" s="70" t="s">
        <v>1862</v>
      </c>
      <c r="C172" s="70">
        <v>44640</v>
      </c>
      <c r="D172" s="70">
        <v>4464</v>
      </c>
      <c r="E172" s="70">
        <v>4464</v>
      </c>
      <c r="F172" s="70">
        <v>4464</v>
      </c>
      <c r="G172" s="3000">
        <f t="shared" si="8"/>
        <v>13392</v>
      </c>
      <c r="H172" s="70">
        <v>4464</v>
      </c>
      <c r="I172" s="70">
        <v>4464</v>
      </c>
      <c r="J172" s="70">
        <v>4464</v>
      </c>
      <c r="K172" s="3000">
        <f t="shared" si="9"/>
        <v>13392</v>
      </c>
      <c r="L172" s="70">
        <v>4464</v>
      </c>
      <c r="M172" s="70">
        <v>4464</v>
      </c>
      <c r="N172" s="70">
        <v>4464</v>
      </c>
      <c r="O172" s="3000">
        <f t="shared" si="10"/>
        <v>13392</v>
      </c>
      <c r="P172" s="70">
        <v>4464</v>
      </c>
      <c r="Q172" s="70">
        <v>0</v>
      </c>
      <c r="R172" s="70">
        <v>0</v>
      </c>
      <c r="S172" s="3000">
        <f t="shared" si="11"/>
        <v>4464</v>
      </c>
      <c r="T172" s="70" t="s">
        <v>1900</v>
      </c>
      <c r="U172" s="70" t="s">
        <v>1048</v>
      </c>
      <c r="V172" s="2921">
        <v>1</v>
      </c>
      <c r="W172" s="2921">
        <v>3</v>
      </c>
      <c r="X172" s="2921">
        <v>5</v>
      </c>
    </row>
    <row r="173" spans="1:24">
      <c r="A173" s="2891">
        <v>166</v>
      </c>
      <c r="B173" s="70" t="s">
        <v>1869</v>
      </c>
      <c r="C173" s="70">
        <v>33000</v>
      </c>
      <c r="D173" s="70">
        <v>0</v>
      </c>
      <c r="E173" s="70">
        <v>0</v>
      </c>
      <c r="F173" s="70">
        <v>0</v>
      </c>
      <c r="G173" s="3000">
        <f t="shared" si="8"/>
        <v>0</v>
      </c>
      <c r="H173" s="70">
        <v>0</v>
      </c>
      <c r="I173" s="70">
        <v>15000</v>
      </c>
      <c r="J173" s="70">
        <v>0</v>
      </c>
      <c r="K173" s="3000">
        <f t="shared" si="9"/>
        <v>15000</v>
      </c>
      <c r="L173" s="70">
        <v>0</v>
      </c>
      <c r="M173" s="70">
        <v>18000</v>
      </c>
      <c r="N173" s="70">
        <v>0</v>
      </c>
      <c r="O173" s="3000">
        <f t="shared" si="10"/>
        <v>18000</v>
      </c>
      <c r="P173" s="70">
        <v>0</v>
      </c>
      <c r="Q173" s="70">
        <v>0</v>
      </c>
      <c r="R173" s="70">
        <v>0</v>
      </c>
      <c r="S173" s="3000">
        <f t="shared" si="11"/>
        <v>0</v>
      </c>
      <c r="T173" s="70" t="s">
        <v>1900</v>
      </c>
      <c r="U173" s="70" t="s">
        <v>1048</v>
      </c>
      <c r="V173" s="2921">
        <v>1</v>
      </c>
      <c r="W173" s="2921">
        <v>3</v>
      </c>
      <c r="X173" s="2921">
        <v>5</v>
      </c>
    </row>
    <row r="174" spans="1:24">
      <c r="A174" s="2930">
        <v>167</v>
      </c>
      <c r="B174" s="70" t="s">
        <v>1874</v>
      </c>
      <c r="C174" s="70">
        <v>72912</v>
      </c>
      <c r="D174" s="70">
        <v>0</v>
      </c>
      <c r="E174" s="70">
        <v>0</v>
      </c>
      <c r="F174" s="70">
        <v>8050</v>
      </c>
      <c r="G174" s="3000">
        <f t="shared" si="8"/>
        <v>8050</v>
      </c>
      <c r="H174" s="70">
        <v>0</v>
      </c>
      <c r="I174" s="70">
        <v>4020</v>
      </c>
      <c r="J174" s="70">
        <v>21476</v>
      </c>
      <c r="K174" s="3000">
        <f t="shared" si="9"/>
        <v>25496</v>
      </c>
      <c r="L174" s="70">
        <v>0</v>
      </c>
      <c r="M174" s="70">
        <v>4020</v>
      </c>
      <c r="N174" s="70">
        <v>23450</v>
      </c>
      <c r="O174" s="3000">
        <f t="shared" si="10"/>
        <v>27470</v>
      </c>
      <c r="P174" s="70">
        <v>0</v>
      </c>
      <c r="Q174" s="70">
        <v>11896</v>
      </c>
      <c r="R174" s="70">
        <v>0</v>
      </c>
      <c r="S174" s="3000">
        <f t="shared" si="11"/>
        <v>11896</v>
      </c>
      <c r="T174" s="70" t="s">
        <v>1900</v>
      </c>
      <c r="U174" s="70" t="s">
        <v>1048</v>
      </c>
      <c r="V174" s="2921">
        <v>1</v>
      </c>
      <c r="W174" s="2921">
        <v>3</v>
      </c>
      <c r="X174" s="2921">
        <v>5</v>
      </c>
    </row>
    <row r="175" spans="1:24">
      <c r="A175" s="2891">
        <v>168</v>
      </c>
      <c r="B175" s="70" t="s">
        <v>2090</v>
      </c>
      <c r="C175" s="70">
        <v>203525</v>
      </c>
      <c r="D175" s="70">
        <v>1900</v>
      </c>
      <c r="E175" s="70">
        <v>4400</v>
      </c>
      <c r="F175" s="70">
        <v>4400</v>
      </c>
      <c r="G175" s="3000">
        <f t="shared" si="8"/>
        <v>10700</v>
      </c>
      <c r="H175" s="70">
        <v>21900</v>
      </c>
      <c r="I175" s="70">
        <v>24400</v>
      </c>
      <c r="J175" s="70">
        <v>1900</v>
      </c>
      <c r="K175" s="3000">
        <f t="shared" si="9"/>
        <v>48200</v>
      </c>
      <c r="L175" s="70">
        <v>22550</v>
      </c>
      <c r="M175" s="70">
        <v>21900</v>
      </c>
      <c r="N175" s="70">
        <v>44600</v>
      </c>
      <c r="O175" s="3000">
        <f t="shared" si="10"/>
        <v>89050</v>
      </c>
      <c r="P175" s="70">
        <v>24400</v>
      </c>
      <c r="Q175" s="70">
        <v>4400</v>
      </c>
      <c r="R175" s="70">
        <v>26775</v>
      </c>
      <c r="S175" s="3000">
        <f t="shared" si="11"/>
        <v>55575</v>
      </c>
      <c r="T175" s="70" t="s">
        <v>2988</v>
      </c>
      <c r="U175" s="70" t="s">
        <v>280</v>
      </c>
      <c r="V175" s="2921">
        <v>3</v>
      </c>
      <c r="W175" s="2921">
        <v>10</v>
      </c>
      <c r="X175" s="2921">
        <v>30</v>
      </c>
    </row>
    <row r="176" spans="1:24">
      <c r="A176" s="2930">
        <v>169</v>
      </c>
      <c r="B176" s="70" t="s">
        <v>2138</v>
      </c>
      <c r="C176" s="70">
        <v>4200</v>
      </c>
      <c r="E176" s="70">
        <v>0</v>
      </c>
      <c r="F176" s="70">
        <v>0</v>
      </c>
      <c r="G176" s="3000">
        <f t="shared" si="8"/>
        <v>0</v>
      </c>
      <c r="H176" s="70">
        <v>4200</v>
      </c>
      <c r="K176" s="3000">
        <f t="shared" si="9"/>
        <v>4200</v>
      </c>
      <c r="L176" s="70">
        <v>0</v>
      </c>
      <c r="M176" s="70">
        <v>0</v>
      </c>
      <c r="N176" s="70">
        <v>0</v>
      </c>
      <c r="O176" s="3000">
        <f t="shared" si="10"/>
        <v>0</v>
      </c>
      <c r="P176" s="70">
        <v>0</v>
      </c>
      <c r="S176" s="3000">
        <f t="shared" si="11"/>
        <v>0</v>
      </c>
      <c r="T176" s="70" t="s">
        <v>2988</v>
      </c>
      <c r="U176" s="70" t="s">
        <v>280</v>
      </c>
      <c r="V176" s="2921">
        <v>3</v>
      </c>
      <c r="W176" s="2921">
        <v>10</v>
      </c>
      <c r="X176" s="2921">
        <v>30</v>
      </c>
    </row>
    <row r="177" spans="1:24">
      <c r="A177" s="2891">
        <v>170</v>
      </c>
      <c r="B177" s="70" t="s">
        <v>2144</v>
      </c>
      <c r="C177" s="70">
        <v>262000</v>
      </c>
      <c r="D177" s="70">
        <v>0</v>
      </c>
      <c r="E177" s="70">
        <v>0</v>
      </c>
      <c r="F177" s="70">
        <v>0</v>
      </c>
      <c r="G177" s="3000">
        <f t="shared" si="8"/>
        <v>0</v>
      </c>
      <c r="H177" s="70">
        <v>0</v>
      </c>
      <c r="I177" s="70">
        <v>0</v>
      </c>
      <c r="J177" s="70">
        <v>0</v>
      </c>
      <c r="K177" s="3000">
        <f t="shared" si="9"/>
        <v>0</v>
      </c>
      <c r="L177" s="70">
        <v>0</v>
      </c>
      <c r="M177" s="70">
        <v>0</v>
      </c>
      <c r="N177" s="70">
        <v>0</v>
      </c>
      <c r="O177" s="3000">
        <f t="shared" si="10"/>
        <v>0</v>
      </c>
      <c r="P177" s="70">
        <v>0</v>
      </c>
      <c r="Q177" s="70">
        <v>262000</v>
      </c>
      <c r="R177" s="70">
        <v>0</v>
      </c>
      <c r="S177" s="3000">
        <f t="shared" si="11"/>
        <v>262000</v>
      </c>
      <c r="T177" s="70" t="s">
        <v>2988</v>
      </c>
      <c r="U177" s="70" t="s">
        <v>2993</v>
      </c>
      <c r="V177" s="2921">
        <v>3</v>
      </c>
      <c r="W177" s="2921">
        <v>10</v>
      </c>
      <c r="X177" s="2921">
        <v>30</v>
      </c>
    </row>
    <row r="178" spans="1:24">
      <c r="A178" s="2930">
        <v>171</v>
      </c>
      <c r="B178" s="70" t="s">
        <v>2165</v>
      </c>
      <c r="C178" s="70">
        <v>11250</v>
      </c>
      <c r="D178" s="70">
        <v>0</v>
      </c>
      <c r="E178" s="70">
        <v>0</v>
      </c>
      <c r="F178" s="70">
        <v>0</v>
      </c>
      <c r="G178" s="3000">
        <f t="shared" si="8"/>
        <v>0</v>
      </c>
      <c r="H178" s="70">
        <v>1500</v>
      </c>
      <c r="I178" s="70">
        <v>0</v>
      </c>
      <c r="J178" s="70">
        <v>0</v>
      </c>
      <c r="K178" s="3000">
        <f t="shared" si="9"/>
        <v>1500</v>
      </c>
      <c r="L178" s="70">
        <v>3750</v>
      </c>
      <c r="M178" s="70">
        <v>0</v>
      </c>
      <c r="N178" s="70">
        <v>0</v>
      </c>
      <c r="O178" s="3000">
        <f t="shared" si="10"/>
        <v>3750</v>
      </c>
      <c r="P178" s="70">
        <v>0</v>
      </c>
      <c r="Q178" s="70">
        <v>6000</v>
      </c>
      <c r="R178" s="70">
        <v>0</v>
      </c>
      <c r="S178" s="3000">
        <f t="shared" si="11"/>
        <v>6000</v>
      </c>
      <c r="T178" s="70" t="s">
        <v>2988</v>
      </c>
      <c r="U178" s="70" t="s">
        <v>280</v>
      </c>
      <c r="V178" s="2921">
        <v>3</v>
      </c>
      <c r="W178" s="2921">
        <v>10</v>
      </c>
      <c r="X178" s="2921">
        <v>30</v>
      </c>
    </row>
    <row r="179" spans="1:24">
      <c r="A179" s="2891">
        <v>172</v>
      </c>
      <c r="B179" s="70" t="s">
        <v>2178</v>
      </c>
      <c r="C179" s="70">
        <v>7200</v>
      </c>
      <c r="G179" s="3000">
        <f t="shared" si="8"/>
        <v>0</v>
      </c>
      <c r="K179" s="3000">
        <f t="shared" si="9"/>
        <v>0</v>
      </c>
      <c r="L179" s="70">
        <v>7200</v>
      </c>
      <c r="O179" s="3000">
        <f t="shared" si="10"/>
        <v>7200</v>
      </c>
      <c r="S179" s="3000">
        <f t="shared" si="11"/>
        <v>0</v>
      </c>
      <c r="T179" s="70" t="s">
        <v>2988</v>
      </c>
      <c r="U179" s="70" t="s">
        <v>280</v>
      </c>
      <c r="V179" s="2921">
        <v>3</v>
      </c>
      <c r="W179" s="2921">
        <v>10</v>
      </c>
      <c r="X179" s="2921">
        <v>31</v>
      </c>
    </row>
    <row r="180" spans="1:24">
      <c r="A180" s="2930">
        <v>173</v>
      </c>
      <c r="B180" s="70" t="s">
        <v>2192</v>
      </c>
      <c r="C180" s="70">
        <v>68400</v>
      </c>
      <c r="G180" s="3000">
        <f t="shared" si="8"/>
        <v>0</v>
      </c>
      <c r="K180" s="3000">
        <f t="shared" si="9"/>
        <v>0</v>
      </c>
      <c r="M180" s="70">
        <v>68400</v>
      </c>
      <c r="O180" s="3000">
        <f t="shared" si="10"/>
        <v>68400</v>
      </c>
      <c r="S180" s="3000">
        <f t="shared" si="11"/>
        <v>0</v>
      </c>
      <c r="T180" s="70" t="s">
        <v>2988</v>
      </c>
      <c r="U180" s="70" t="s">
        <v>280</v>
      </c>
      <c r="V180" s="2921">
        <v>3</v>
      </c>
      <c r="W180" s="2921">
        <v>10</v>
      </c>
      <c r="X180" s="2921">
        <v>30</v>
      </c>
    </row>
    <row r="181" spans="1:24">
      <c r="A181" s="2891">
        <v>174</v>
      </c>
      <c r="B181" s="70" t="s">
        <v>2206</v>
      </c>
      <c r="G181" s="3000">
        <f t="shared" si="8"/>
        <v>0</v>
      </c>
      <c r="K181" s="3000">
        <f t="shared" si="9"/>
        <v>0</v>
      </c>
      <c r="O181" s="3000">
        <f t="shared" si="10"/>
        <v>0</v>
      </c>
      <c r="S181" s="3000">
        <f t="shared" si="11"/>
        <v>0</v>
      </c>
      <c r="V181" s="2921">
        <v>3</v>
      </c>
      <c r="W181" s="2921">
        <v>10</v>
      </c>
      <c r="X181" s="2921">
        <v>30</v>
      </c>
    </row>
    <row r="182" spans="1:24">
      <c r="A182" s="2930">
        <v>175</v>
      </c>
      <c r="B182" s="70" t="s">
        <v>2211</v>
      </c>
      <c r="C182" s="70">
        <v>16800</v>
      </c>
      <c r="D182" s="70">
        <v>0</v>
      </c>
      <c r="E182" s="70">
        <v>0</v>
      </c>
      <c r="F182" s="70">
        <v>0</v>
      </c>
      <c r="G182" s="3000">
        <f t="shared" si="8"/>
        <v>0</v>
      </c>
      <c r="H182" s="70">
        <v>3900</v>
      </c>
      <c r="I182" s="70">
        <v>0</v>
      </c>
      <c r="J182" s="70">
        <v>1500</v>
      </c>
      <c r="K182" s="3000">
        <f t="shared" si="9"/>
        <v>5400</v>
      </c>
      <c r="L182" s="70">
        <v>2400</v>
      </c>
      <c r="M182" s="70">
        <v>0</v>
      </c>
      <c r="N182" s="70">
        <v>9000</v>
      </c>
      <c r="O182" s="3000">
        <f t="shared" si="10"/>
        <v>11400</v>
      </c>
      <c r="P182" s="70">
        <v>0</v>
      </c>
      <c r="Q182" s="70">
        <v>0</v>
      </c>
      <c r="R182" s="70">
        <v>0</v>
      </c>
      <c r="S182" s="3000">
        <f t="shared" si="11"/>
        <v>0</v>
      </c>
      <c r="T182" s="70" t="s">
        <v>2988</v>
      </c>
      <c r="U182" s="70" t="s">
        <v>280</v>
      </c>
      <c r="V182" s="2921">
        <v>4</v>
      </c>
      <c r="W182" s="2921">
        <v>14</v>
      </c>
      <c r="X182" s="2921">
        <v>37</v>
      </c>
    </row>
    <row r="183" spans="1:24">
      <c r="A183" s="2891">
        <v>176</v>
      </c>
      <c r="B183" s="70" t="s">
        <v>2229</v>
      </c>
      <c r="C183" s="70">
        <v>18000</v>
      </c>
      <c r="D183" s="70">
        <v>0</v>
      </c>
      <c r="E183" s="70">
        <v>0</v>
      </c>
      <c r="F183" s="70">
        <v>0</v>
      </c>
      <c r="G183" s="3000">
        <f t="shared" si="8"/>
        <v>0</v>
      </c>
      <c r="H183" s="70">
        <v>0</v>
      </c>
      <c r="I183" s="70">
        <v>18000</v>
      </c>
      <c r="J183" s="70">
        <v>0</v>
      </c>
      <c r="K183" s="3000">
        <f t="shared" si="9"/>
        <v>18000</v>
      </c>
      <c r="L183" s="70">
        <v>0</v>
      </c>
      <c r="M183" s="70">
        <v>0</v>
      </c>
      <c r="N183" s="70">
        <v>0</v>
      </c>
      <c r="O183" s="3000">
        <f t="shared" si="10"/>
        <v>0</v>
      </c>
      <c r="P183" s="70">
        <v>0</v>
      </c>
      <c r="Q183" s="70">
        <v>0</v>
      </c>
      <c r="R183" s="70">
        <v>0</v>
      </c>
      <c r="S183" s="3000">
        <f t="shared" si="11"/>
        <v>0</v>
      </c>
      <c r="T183" s="70" t="s">
        <v>2988</v>
      </c>
      <c r="U183" s="70" t="s">
        <v>280</v>
      </c>
      <c r="V183" s="2921">
        <v>4</v>
      </c>
      <c r="W183" s="2921">
        <v>14</v>
      </c>
      <c r="X183" s="2921">
        <v>37</v>
      </c>
    </row>
    <row r="184" spans="1:24">
      <c r="A184" s="2930">
        <v>177</v>
      </c>
      <c r="B184" s="70" t="s">
        <v>2235</v>
      </c>
      <c r="C184" s="70">
        <v>25000</v>
      </c>
      <c r="D184" s="70">
        <v>0</v>
      </c>
      <c r="E184" s="70">
        <v>0</v>
      </c>
      <c r="F184" s="70">
        <v>0</v>
      </c>
      <c r="G184" s="3000">
        <f t="shared" si="8"/>
        <v>0</v>
      </c>
      <c r="H184" s="70">
        <v>0</v>
      </c>
      <c r="I184" s="70">
        <v>0</v>
      </c>
      <c r="J184" s="70">
        <v>0</v>
      </c>
      <c r="K184" s="3000">
        <f t="shared" si="9"/>
        <v>0</v>
      </c>
      <c r="L184" s="70">
        <v>0</v>
      </c>
      <c r="M184" s="70">
        <v>25000</v>
      </c>
      <c r="N184" s="70">
        <v>0</v>
      </c>
      <c r="O184" s="3000">
        <f t="shared" si="10"/>
        <v>25000</v>
      </c>
      <c r="P184" s="70">
        <v>0</v>
      </c>
      <c r="Q184" s="70">
        <v>0</v>
      </c>
      <c r="R184" s="70">
        <v>0</v>
      </c>
      <c r="S184" s="3000">
        <f t="shared" si="11"/>
        <v>0</v>
      </c>
      <c r="T184" s="70" t="s">
        <v>2230</v>
      </c>
      <c r="U184" s="70" t="s">
        <v>280</v>
      </c>
      <c r="V184" s="2921">
        <v>4</v>
      </c>
      <c r="W184" s="2921">
        <v>14</v>
      </c>
      <c r="X184" s="2921">
        <v>37</v>
      </c>
    </row>
    <row r="185" spans="1:24">
      <c r="A185" s="2891">
        <v>178</v>
      </c>
      <c r="B185" s="70" t="s">
        <v>2239</v>
      </c>
      <c r="C185" s="70">
        <v>80000</v>
      </c>
      <c r="D185" s="70">
        <v>0</v>
      </c>
      <c r="E185" s="70">
        <v>0</v>
      </c>
      <c r="F185" s="70">
        <v>0</v>
      </c>
      <c r="G185" s="3000">
        <f t="shared" si="8"/>
        <v>0</v>
      </c>
      <c r="H185" s="70">
        <v>0</v>
      </c>
      <c r="I185" s="70">
        <v>0</v>
      </c>
      <c r="J185" s="70">
        <v>0</v>
      </c>
      <c r="K185" s="3000">
        <f t="shared" si="9"/>
        <v>0</v>
      </c>
      <c r="L185" s="70">
        <v>0</v>
      </c>
      <c r="M185" s="70">
        <v>0</v>
      </c>
      <c r="O185" s="3000">
        <f t="shared" si="10"/>
        <v>0</v>
      </c>
      <c r="P185" s="70">
        <v>80000</v>
      </c>
      <c r="Q185" s="70">
        <v>0</v>
      </c>
      <c r="R185" s="70">
        <v>0</v>
      </c>
      <c r="S185" s="3000">
        <f t="shared" si="11"/>
        <v>80000</v>
      </c>
      <c r="T185" s="70" t="s">
        <v>2230</v>
      </c>
      <c r="U185" s="70" t="s">
        <v>280</v>
      </c>
      <c r="V185" s="2921">
        <v>4</v>
      </c>
      <c r="W185" s="2921">
        <v>14</v>
      </c>
      <c r="X185" s="2921">
        <v>37</v>
      </c>
    </row>
    <row r="186" spans="1:24">
      <c r="A186" s="2930">
        <v>179</v>
      </c>
      <c r="B186" s="70" t="s">
        <v>2242</v>
      </c>
      <c r="C186" s="70">
        <v>144430</v>
      </c>
      <c r="D186" s="70">
        <v>0</v>
      </c>
      <c r="E186" s="70">
        <v>0</v>
      </c>
      <c r="F186" s="70">
        <v>0</v>
      </c>
      <c r="G186" s="3000">
        <f t="shared" si="8"/>
        <v>0</v>
      </c>
      <c r="H186" s="70">
        <v>0</v>
      </c>
      <c r="I186" s="70">
        <v>0</v>
      </c>
      <c r="J186" s="70">
        <v>0</v>
      </c>
      <c r="K186" s="3000">
        <f t="shared" si="9"/>
        <v>0</v>
      </c>
      <c r="L186" s="70">
        <v>0</v>
      </c>
      <c r="M186" s="70">
        <v>0</v>
      </c>
      <c r="N186" s="70">
        <v>0</v>
      </c>
      <c r="O186" s="3000">
        <f t="shared" si="10"/>
        <v>0</v>
      </c>
      <c r="P186" s="70">
        <v>0</v>
      </c>
      <c r="Q186" s="70">
        <v>0</v>
      </c>
      <c r="R186" s="70">
        <v>144430</v>
      </c>
      <c r="S186" s="3000">
        <f t="shared" si="11"/>
        <v>144430</v>
      </c>
      <c r="T186" s="70" t="s">
        <v>2230</v>
      </c>
      <c r="U186" s="70" t="s">
        <v>280</v>
      </c>
      <c r="V186" s="2921">
        <v>4</v>
      </c>
      <c r="W186" s="2921">
        <v>14</v>
      </c>
      <c r="X186" s="2921">
        <v>37</v>
      </c>
    </row>
    <row r="187" spans="1:24">
      <c r="A187" s="2891">
        <v>180</v>
      </c>
      <c r="B187" s="70" t="s">
        <v>537</v>
      </c>
      <c r="C187" s="70">
        <v>1800</v>
      </c>
      <c r="G187" s="3000">
        <f t="shared" si="8"/>
        <v>0</v>
      </c>
      <c r="J187" s="70">
        <v>1800</v>
      </c>
      <c r="K187" s="3000">
        <f t="shared" si="9"/>
        <v>1800</v>
      </c>
      <c r="O187" s="3000">
        <f t="shared" si="10"/>
        <v>0</v>
      </c>
      <c r="S187" s="3000">
        <f t="shared" si="11"/>
        <v>0</v>
      </c>
      <c r="T187" s="70" t="s">
        <v>2985</v>
      </c>
      <c r="U187" s="70" t="s">
        <v>280</v>
      </c>
      <c r="V187" s="2921">
        <v>1</v>
      </c>
      <c r="W187" s="2921">
        <v>1</v>
      </c>
      <c r="X187" s="2921">
        <v>1</v>
      </c>
    </row>
    <row r="188" spans="1:24">
      <c r="A188" s="2930">
        <v>181</v>
      </c>
      <c r="B188" s="70" t="s">
        <v>3001</v>
      </c>
      <c r="C188" s="70">
        <v>2880</v>
      </c>
      <c r="F188" s="70">
        <v>720</v>
      </c>
      <c r="G188" s="3000">
        <f t="shared" si="8"/>
        <v>720</v>
      </c>
      <c r="J188" s="70">
        <v>720</v>
      </c>
      <c r="K188" s="3000">
        <f t="shared" si="9"/>
        <v>720</v>
      </c>
      <c r="M188" s="70">
        <v>720</v>
      </c>
      <c r="O188" s="3000">
        <f t="shared" si="10"/>
        <v>720</v>
      </c>
      <c r="P188" s="70">
        <v>720</v>
      </c>
      <c r="S188" s="3000">
        <f t="shared" si="11"/>
        <v>720</v>
      </c>
      <c r="T188" s="70" t="s">
        <v>2985</v>
      </c>
      <c r="U188" s="70" t="s">
        <v>280</v>
      </c>
      <c r="V188" s="2921">
        <v>1</v>
      </c>
      <c r="W188" s="2921">
        <v>1</v>
      </c>
      <c r="X188" s="2921">
        <v>1</v>
      </c>
    </row>
    <row r="189" spans="1:24">
      <c r="A189" s="2891">
        <v>182</v>
      </c>
      <c r="B189" s="70" t="s">
        <v>544</v>
      </c>
      <c r="C189" s="70">
        <v>18000</v>
      </c>
      <c r="F189" s="70">
        <v>4500</v>
      </c>
      <c r="G189" s="3000">
        <f t="shared" si="8"/>
        <v>4500</v>
      </c>
      <c r="J189" s="70">
        <v>4500</v>
      </c>
      <c r="K189" s="3000">
        <f t="shared" si="9"/>
        <v>4500</v>
      </c>
      <c r="N189" s="70">
        <v>4500</v>
      </c>
      <c r="O189" s="3000">
        <f t="shared" si="10"/>
        <v>4500</v>
      </c>
      <c r="Q189" s="70">
        <v>4500</v>
      </c>
      <c r="S189" s="3000">
        <f t="shared" si="11"/>
        <v>4500</v>
      </c>
      <c r="T189" s="70" t="s">
        <v>2985</v>
      </c>
      <c r="U189" s="70" t="s">
        <v>280</v>
      </c>
      <c r="V189" s="2921">
        <v>1</v>
      </c>
      <c r="W189" s="2921">
        <v>1</v>
      </c>
      <c r="X189" s="2921">
        <v>1</v>
      </c>
    </row>
    <row r="190" spans="1:24">
      <c r="A190" s="2930">
        <v>183</v>
      </c>
      <c r="B190" s="70" t="s">
        <v>551</v>
      </c>
      <c r="C190" s="70">
        <v>2341800</v>
      </c>
      <c r="D190" s="70">
        <v>0</v>
      </c>
      <c r="E190" s="70">
        <v>0</v>
      </c>
      <c r="F190" s="70">
        <v>234000</v>
      </c>
      <c r="G190" s="3000">
        <f t="shared" si="8"/>
        <v>234000</v>
      </c>
      <c r="H190" s="70">
        <v>474000</v>
      </c>
      <c r="I190" s="70">
        <v>481500</v>
      </c>
      <c r="J190" s="70">
        <v>481500</v>
      </c>
      <c r="K190" s="3000">
        <f t="shared" si="9"/>
        <v>1437000</v>
      </c>
      <c r="L190" s="70">
        <v>234000</v>
      </c>
      <c r="M190" s="70">
        <v>234000</v>
      </c>
      <c r="N190" s="70">
        <v>156000</v>
      </c>
      <c r="O190" s="3000">
        <f t="shared" si="10"/>
        <v>624000</v>
      </c>
      <c r="P190" s="70">
        <v>46800</v>
      </c>
      <c r="Q190" s="70">
        <v>0</v>
      </c>
      <c r="S190" s="3000">
        <f t="shared" si="11"/>
        <v>46800</v>
      </c>
      <c r="T190" s="70" t="s">
        <v>552</v>
      </c>
      <c r="U190" s="70" t="s">
        <v>553</v>
      </c>
      <c r="V190" s="2921">
        <v>1</v>
      </c>
      <c r="W190" s="2921">
        <v>1</v>
      </c>
      <c r="X190" s="2921">
        <v>1</v>
      </c>
    </row>
    <row r="191" spans="1:24">
      <c r="A191" s="2891">
        <v>184</v>
      </c>
      <c r="B191" s="70" t="s">
        <v>1903</v>
      </c>
      <c r="C191" s="70">
        <v>3339600</v>
      </c>
      <c r="D191" s="70">
        <v>0</v>
      </c>
      <c r="E191" s="70">
        <v>0</v>
      </c>
      <c r="F191" s="70">
        <v>0</v>
      </c>
      <c r="G191" s="3000">
        <f t="shared" si="8"/>
        <v>0</v>
      </c>
      <c r="H191" s="70">
        <v>2332500</v>
      </c>
      <c r="I191" s="70">
        <v>350100</v>
      </c>
      <c r="J191" s="70">
        <v>232500</v>
      </c>
      <c r="K191" s="3000">
        <f t="shared" si="9"/>
        <v>2915100</v>
      </c>
      <c r="L191" s="70">
        <v>424500</v>
      </c>
      <c r="M191" s="70">
        <v>0</v>
      </c>
      <c r="N191" s="70">
        <v>0</v>
      </c>
      <c r="O191" s="3000">
        <f t="shared" si="10"/>
        <v>424500</v>
      </c>
      <c r="P191" s="70">
        <v>0</v>
      </c>
      <c r="Q191" s="70">
        <v>0</v>
      </c>
      <c r="R191" s="70">
        <v>0</v>
      </c>
      <c r="S191" s="3000">
        <f t="shared" si="11"/>
        <v>0</v>
      </c>
      <c r="T191" s="70" t="s">
        <v>2986</v>
      </c>
      <c r="U191" s="70" t="s">
        <v>591</v>
      </c>
      <c r="V191" s="2921">
        <v>1</v>
      </c>
      <c r="W191" s="2921">
        <v>1</v>
      </c>
      <c r="X191" s="2921">
        <v>1</v>
      </c>
    </row>
    <row r="192" spans="1:24">
      <c r="A192" s="2930">
        <v>185</v>
      </c>
      <c r="B192" s="70" t="s">
        <v>616</v>
      </c>
      <c r="C192" s="70">
        <v>7200</v>
      </c>
      <c r="D192" s="70">
        <v>0</v>
      </c>
      <c r="E192" s="70">
        <v>0</v>
      </c>
      <c r="F192" s="70">
        <v>0</v>
      </c>
      <c r="G192" s="3000">
        <f t="shared" si="8"/>
        <v>0</v>
      </c>
      <c r="H192" s="70">
        <v>0</v>
      </c>
      <c r="I192" s="70">
        <v>7200</v>
      </c>
      <c r="J192" s="70">
        <v>0</v>
      </c>
      <c r="K192" s="3000">
        <f t="shared" si="9"/>
        <v>7200</v>
      </c>
      <c r="L192" s="70">
        <v>0</v>
      </c>
      <c r="M192" s="70">
        <v>0</v>
      </c>
      <c r="N192" s="70">
        <v>0</v>
      </c>
      <c r="O192" s="3000">
        <f t="shared" si="10"/>
        <v>0</v>
      </c>
      <c r="P192" s="70">
        <v>0</v>
      </c>
      <c r="Q192" s="70">
        <v>0</v>
      </c>
      <c r="R192" s="70">
        <v>0</v>
      </c>
      <c r="S192" s="3000">
        <f t="shared" si="11"/>
        <v>0</v>
      </c>
      <c r="T192" s="70" t="s">
        <v>2987</v>
      </c>
      <c r="U192" s="70" t="s">
        <v>280</v>
      </c>
      <c r="V192" s="2921">
        <v>1</v>
      </c>
      <c r="W192" s="2921">
        <v>1</v>
      </c>
      <c r="X192" s="2921">
        <v>1</v>
      </c>
    </row>
    <row r="193" spans="1:24">
      <c r="A193" s="2891">
        <v>186</v>
      </c>
      <c r="B193" s="70" t="s">
        <v>624</v>
      </c>
      <c r="C193" s="70">
        <v>308176</v>
      </c>
      <c r="D193" s="70">
        <v>0</v>
      </c>
      <c r="E193" s="70">
        <v>0</v>
      </c>
      <c r="F193" s="70">
        <v>7000</v>
      </c>
      <c r="G193" s="3000">
        <f t="shared" si="8"/>
        <v>7000</v>
      </c>
      <c r="H193" s="70">
        <v>242400</v>
      </c>
      <c r="I193" s="70">
        <v>0</v>
      </c>
      <c r="J193" s="70">
        <v>0</v>
      </c>
      <c r="K193" s="3000">
        <f t="shared" si="9"/>
        <v>242400</v>
      </c>
      <c r="L193" s="70">
        <v>0</v>
      </c>
      <c r="M193" s="70">
        <v>33976</v>
      </c>
      <c r="N193" s="70">
        <v>0</v>
      </c>
      <c r="O193" s="3000">
        <f t="shared" si="10"/>
        <v>33976</v>
      </c>
      <c r="P193" s="70">
        <v>0</v>
      </c>
      <c r="Q193" s="70">
        <v>24800</v>
      </c>
      <c r="S193" s="3000">
        <f t="shared" si="11"/>
        <v>24800</v>
      </c>
      <c r="T193" s="70" t="s">
        <v>2987</v>
      </c>
      <c r="U193" s="70" t="s">
        <v>625</v>
      </c>
      <c r="V193" s="2921">
        <v>1</v>
      </c>
      <c r="W193" s="2921">
        <v>1</v>
      </c>
      <c r="X193" s="2921">
        <v>1</v>
      </c>
    </row>
    <row r="194" spans="1:24">
      <c r="A194" s="2930">
        <v>187</v>
      </c>
      <c r="B194" s="70" t="s">
        <v>3002</v>
      </c>
      <c r="C194" s="70">
        <v>6000</v>
      </c>
      <c r="D194" s="70">
        <v>0</v>
      </c>
      <c r="E194" s="70">
        <v>0</v>
      </c>
      <c r="F194" s="70">
        <v>0</v>
      </c>
      <c r="G194" s="3000">
        <f t="shared" si="8"/>
        <v>0</v>
      </c>
      <c r="H194" s="70">
        <v>0</v>
      </c>
      <c r="I194" s="70">
        <v>0</v>
      </c>
      <c r="J194" s="70">
        <v>0</v>
      </c>
      <c r="K194" s="3000">
        <f t="shared" si="9"/>
        <v>0</v>
      </c>
      <c r="L194" s="70">
        <v>3000</v>
      </c>
      <c r="M194" s="70">
        <v>3000</v>
      </c>
      <c r="N194" s="70">
        <v>0</v>
      </c>
      <c r="O194" s="3000">
        <f t="shared" si="10"/>
        <v>6000</v>
      </c>
      <c r="P194" s="70">
        <v>0</v>
      </c>
      <c r="Q194" s="70">
        <v>0</v>
      </c>
      <c r="S194" s="3000">
        <f t="shared" si="11"/>
        <v>0</v>
      </c>
      <c r="T194" s="70" t="s">
        <v>2987</v>
      </c>
      <c r="U194" s="70" t="s">
        <v>280</v>
      </c>
      <c r="V194" s="2921">
        <v>1</v>
      </c>
      <c r="W194" s="2921">
        <v>1</v>
      </c>
      <c r="X194" s="2921">
        <v>1</v>
      </c>
    </row>
    <row r="195" spans="1:24">
      <c r="A195" s="2891">
        <v>188</v>
      </c>
      <c r="B195" s="70" t="s">
        <v>664</v>
      </c>
      <c r="G195" s="3000">
        <f t="shared" si="8"/>
        <v>0</v>
      </c>
      <c r="K195" s="3000">
        <f t="shared" si="9"/>
        <v>0</v>
      </c>
      <c r="O195" s="3000">
        <f t="shared" si="10"/>
        <v>0</v>
      </c>
      <c r="S195" s="3000">
        <f t="shared" si="11"/>
        <v>0</v>
      </c>
      <c r="T195" s="70" t="s">
        <v>2987</v>
      </c>
      <c r="U195" s="70" t="s">
        <v>280</v>
      </c>
      <c r="V195" s="2921">
        <v>1</v>
      </c>
      <c r="W195" s="2921">
        <v>1</v>
      </c>
      <c r="X195" s="2921">
        <v>1</v>
      </c>
    </row>
    <row r="196" spans="1:24">
      <c r="A196" s="2930">
        <v>189</v>
      </c>
      <c r="B196" s="70" t="s">
        <v>671</v>
      </c>
      <c r="C196" s="70">
        <v>21600</v>
      </c>
      <c r="D196" s="70">
        <v>0</v>
      </c>
      <c r="E196" s="70">
        <v>0</v>
      </c>
      <c r="F196" s="70">
        <v>7200</v>
      </c>
      <c r="G196" s="3000">
        <f t="shared" si="8"/>
        <v>7200</v>
      </c>
      <c r="H196" s="70">
        <v>0</v>
      </c>
      <c r="I196" s="70">
        <v>0</v>
      </c>
      <c r="J196" s="70">
        <v>7200</v>
      </c>
      <c r="K196" s="3000">
        <f t="shared" si="9"/>
        <v>7200</v>
      </c>
      <c r="L196" s="70">
        <v>0</v>
      </c>
      <c r="M196" s="70">
        <v>0</v>
      </c>
      <c r="N196" s="70">
        <v>7200</v>
      </c>
      <c r="O196" s="3000">
        <f t="shared" si="10"/>
        <v>7200</v>
      </c>
      <c r="P196" s="70">
        <v>0</v>
      </c>
      <c r="Q196" s="70">
        <v>0</v>
      </c>
      <c r="R196" s="70">
        <v>0</v>
      </c>
      <c r="S196" s="3000">
        <f t="shared" si="11"/>
        <v>0</v>
      </c>
      <c r="T196" s="70" t="s">
        <v>2987</v>
      </c>
      <c r="U196" s="70" t="s">
        <v>280</v>
      </c>
      <c r="V196" s="2921">
        <v>1</v>
      </c>
      <c r="W196" s="2921">
        <v>1</v>
      </c>
      <c r="X196" s="2921">
        <v>1</v>
      </c>
    </row>
    <row r="197" spans="1:24">
      <c r="A197" s="2891">
        <v>190</v>
      </c>
      <c r="B197" s="70" t="s">
        <v>676</v>
      </c>
      <c r="C197" s="70">
        <v>37000</v>
      </c>
      <c r="D197" s="70">
        <v>0</v>
      </c>
      <c r="E197" s="70">
        <v>0</v>
      </c>
      <c r="F197" s="70">
        <v>0</v>
      </c>
      <c r="G197" s="3000">
        <f t="shared" si="8"/>
        <v>0</v>
      </c>
      <c r="H197" s="70">
        <v>1500</v>
      </c>
      <c r="I197" s="70">
        <v>0</v>
      </c>
      <c r="J197" s="70">
        <v>34000</v>
      </c>
      <c r="K197" s="3000">
        <f t="shared" si="9"/>
        <v>35500</v>
      </c>
      <c r="L197" s="70">
        <v>0</v>
      </c>
      <c r="M197" s="70">
        <v>0</v>
      </c>
      <c r="N197" s="70">
        <v>1500</v>
      </c>
      <c r="O197" s="3000">
        <f t="shared" si="10"/>
        <v>1500</v>
      </c>
      <c r="P197" s="70">
        <v>0</v>
      </c>
      <c r="Q197" s="70">
        <v>0</v>
      </c>
      <c r="R197" s="70">
        <v>0</v>
      </c>
      <c r="S197" s="3000">
        <f t="shared" si="11"/>
        <v>0</v>
      </c>
      <c r="T197" s="70" t="s">
        <v>2987</v>
      </c>
      <c r="U197" s="70" t="s">
        <v>280</v>
      </c>
      <c r="V197" s="2921">
        <v>1</v>
      </c>
      <c r="W197" s="2921">
        <v>1</v>
      </c>
      <c r="X197" s="2921">
        <v>1</v>
      </c>
    </row>
    <row r="198" spans="1:24">
      <c r="A198" s="2930">
        <v>191</v>
      </c>
      <c r="B198" s="70" t="s">
        <v>687</v>
      </c>
      <c r="C198" s="70">
        <v>136500</v>
      </c>
      <c r="D198" s="70">
        <v>0</v>
      </c>
      <c r="E198" s="70">
        <v>0</v>
      </c>
      <c r="F198" s="70">
        <v>45600</v>
      </c>
      <c r="G198" s="3000">
        <f t="shared" si="8"/>
        <v>45600</v>
      </c>
      <c r="H198" s="70">
        <v>39600</v>
      </c>
      <c r="I198" s="70">
        <v>8400</v>
      </c>
      <c r="J198" s="70">
        <v>12000</v>
      </c>
      <c r="K198" s="3000">
        <f t="shared" si="9"/>
        <v>60000</v>
      </c>
      <c r="L198" s="70">
        <v>6000</v>
      </c>
      <c r="M198" s="70">
        <v>6000</v>
      </c>
      <c r="N198" s="70">
        <v>6000</v>
      </c>
      <c r="O198" s="3000">
        <f t="shared" si="10"/>
        <v>18000</v>
      </c>
      <c r="P198" s="70">
        <v>6900</v>
      </c>
      <c r="Q198" s="70">
        <v>6000</v>
      </c>
      <c r="R198" s="70">
        <v>0</v>
      </c>
      <c r="S198" s="3000">
        <f t="shared" si="11"/>
        <v>12900</v>
      </c>
      <c r="T198" s="70" t="s">
        <v>2987</v>
      </c>
      <c r="U198" s="70" t="s">
        <v>690</v>
      </c>
      <c r="V198" s="2921">
        <v>1</v>
      </c>
      <c r="W198" s="2921">
        <v>1</v>
      </c>
      <c r="X198" s="2921">
        <v>1</v>
      </c>
    </row>
    <row r="199" spans="1:24">
      <c r="A199" s="2891">
        <v>192</v>
      </c>
      <c r="B199" s="70" t="s">
        <v>1908</v>
      </c>
      <c r="C199" s="70">
        <v>50000</v>
      </c>
      <c r="D199" s="70">
        <v>0</v>
      </c>
      <c r="E199" s="70">
        <v>0</v>
      </c>
      <c r="F199" s="70">
        <v>26000</v>
      </c>
      <c r="G199" s="3000">
        <f t="shared" ref="G199:G209" si="12">SUM(D199:F199)</f>
        <v>26000</v>
      </c>
      <c r="H199" s="70">
        <v>15000</v>
      </c>
      <c r="I199" s="70">
        <v>0</v>
      </c>
      <c r="J199" s="70">
        <v>3000</v>
      </c>
      <c r="K199" s="3000">
        <f t="shared" ref="K199:K209" si="13">SUM(H199:J199)</f>
        <v>18000</v>
      </c>
      <c r="L199" s="70">
        <v>0</v>
      </c>
      <c r="M199" s="70">
        <v>3000</v>
      </c>
      <c r="N199" s="70">
        <v>0</v>
      </c>
      <c r="O199" s="3000">
        <f t="shared" ref="O199:O209" si="14">SUM(L199:N199)</f>
        <v>3000</v>
      </c>
      <c r="P199" s="70">
        <v>3000</v>
      </c>
      <c r="Q199" s="70">
        <v>0</v>
      </c>
      <c r="R199" s="70">
        <v>0</v>
      </c>
      <c r="S199" s="3000">
        <f t="shared" ref="S199:S209" si="15">SUM(P199:R199)</f>
        <v>3000</v>
      </c>
      <c r="T199" s="70" t="s">
        <v>2066</v>
      </c>
      <c r="U199" s="70" t="s">
        <v>893</v>
      </c>
      <c r="V199" s="2921">
        <v>1</v>
      </c>
      <c r="W199" s="2921">
        <v>3</v>
      </c>
      <c r="X199" s="2921">
        <v>2</v>
      </c>
    </row>
    <row r="200" spans="1:24">
      <c r="A200" s="2930">
        <v>193</v>
      </c>
      <c r="B200" s="70" t="s">
        <v>1932</v>
      </c>
      <c r="C200" s="70">
        <v>8400</v>
      </c>
      <c r="D200" s="70">
        <v>0</v>
      </c>
      <c r="E200" s="70">
        <v>0</v>
      </c>
      <c r="F200" s="70">
        <v>0</v>
      </c>
      <c r="G200" s="3000">
        <f t="shared" si="12"/>
        <v>0</v>
      </c>
      <c r="H200" s="70">
        <v>8400</v>
      </c>
      <c r="I200" s="70">
        <v>0</v>
      </c>
      <c r="J200" s="70">
        <v>0</v>
      </c>
      <c r="K200" s="3000">
        <f t="shared" si="13"/>
        <v>8400</v>
      </c>
      <c r="L200" s="70">
        <v>0</v>
      </c>
      <c r="M200" s="70">
        <v>0</v>
      </c>
      <c r="N200" s="70">
        <v>0</v>
      </c>
      <c r="O200" s="3000">
        <f t="shared" si="14"/>
        <v>0</v>
      </c>
      <c r="P200" s="70">
        <v>0</v>
      </c>
      <c r="Q200" s="70">
        <v>0</v>
      </c>
      <c r="R200" s="70">
        <v>0</v>
      </c>
      <c r="S200" s="3000">
        <f t="shared" si="15"/>
        <v>0</v>
      </c>
      <c r="T200" s="70" t="s">
        <v>2066</v>
      </c>
      <c r="U200" s="70" t="s">
        <v>893</v>
      </c>
      <c r="V200" s="2921">
        <v>1</v>
      </c>
      <c r="W200" s="2921">
        <v>3</v>
      </c>
      <c r="X200" s="2921">
        <v>2</v>
      </c>
    </row>
    <row r="201" spans="1:24">
      <c r="A201" s="2891">
        <v>194</v>
      </c>
      <c r="B201" s="70" t="s">
        <v>1939</v>
      </c>
      <c r="C201" s="70">
        <v>38050</v>
      </c>
      <c r="D201" s="70">
        <v>0</v>
      </c>
      <c r="E201" s="70">
        <v>0</v>
      </c>
      <c r="F201" s="70">
        <v>10625</v>
      </c>
      <c r="G201" s="3000">
        <f t="shared" si="12"/>
        <v>10625</v>
      </c>
      <c r="H201" s="70">
        <v>0</v>
      </c>
      <c r="I201" s="70">
        <v>11000</v>
      </c>
      <c r="J201" s="70">
        <v>500</v>
      </c>
      <c r="K201" s="3000">
        <f t="shared" si="13"/>
        <v>11500</v>
      </c>
      <c r="L201" s="70">
        <v>625</v>
      </c>
      <c r="M201" s="70">
        <v>2500</v>
      </c>
      <c r="N201" s="70">
        <v>9000</v>
      </c>
      <c r="O201" s="3000">
        <f t="shared" si="14"/>
        <v>12125</v>
      </c>
      <c r="P201" s="70">
        <v>1000</v>
      </c>
      <c r="Q201" s="70">
        <v>2800</v>
      </c>
      <c r="R201" s="70">
        <v>0</v>
      </c>
      <c r="S201" s="3000">
        <f t="shared" si="15"/>
        <v>3800</v>
      </c>
      <c r="T201" s="70" t="s">
        <v>2066</v>
      </c>
      <c r="U201" s="70" t="s">
        <v>893</v>
      </c>
      <c r="V201" s="2921">
        <v>1</v>
      </c>
      <c r="W201" s="2921">
        <v>3</v>
      </c>
      <c r="X201" s="2921">
        <v>2</v>
      </c>
    </row>
    <row r="202" spans="1:24">
      <c r="A202" s="2930">
        <v>195</v>
      </c>
      <c r="B202" s="70" t="s">
        <v>1978</v>
      </c>
      <c r="C202" s="70">
        <v>10920</v>
      </c>
      <c r="E202" s="70">
        <v>0</v>
      </c>
      <c r="F202" s="70">
        <v>0</v>
      </c>
      <c r="G202" s="3000">
        <f t="shared" si="12"/>
        <v>0</v>
      </c>
      <c r="H202" s="70">
        <v>8400</v>
      </c>
      <c r="I202" s="70">
        <v>1440</v>
      </c>
      <c r="J202" s="70">
        <v>0</v>
      </c>
      <c r="K202" s="3000">
        <f t="shared" si="13"/>
        <v>9840</v>
      </c>
      <c r="L202" s="70">
        <v>0</v>
      </c>
      <c r="M202" s="70">
        <v>0</v>
      </c>
      <c r="N202" s="70">
        <v>1080</v>
      </c>
      <c r="O202" s="3000">
        <f t="shared" si="14"/>
        <v>1080</v>
      </c>
      <c r="P202" s="70">
        <v>0</v>
      </c>
      <c r="Q202" s="70">
        <v>0</v>
      </c>
      <c r="R202" s="70">
        <v>0</v>
      </c>
      <c r="S202" s="3000">
        <f t="shared" si="15"/>
        <v>0</v>
      </c>
      <c r="T202" s="70" t="s">
        <v>2066</v>
      </c>
      <c r="U202" s="70" t="s">
        <v>893</v>
      </c>
      <c r="V202" s="2921">
        <v>1</v>
      </c>
      <c r="W202" s="2921">
        <v>3</v>
      </c>
      <c r="X202" s="2921">
        <v>2</v>
      </c>
    </row>
    <row r="203" spans="1:24">
      <c r="A203" s="2891">
        <v>196</v>
      </c>
      <c r="B203" s="70" t="s">
        <v>1986</v>
      </c>
      <c r="C203" s="70">
        <v>15600</v>
      </c>
      <c r="D203" s="70">
        <v>0</v>
      </c>
      <c r="E203" s="70">
        <v>0</v>
      </c>
      <c r="F203" s="70">
        <v>0</v>
      </c>
      <c r="G203" s="3000">
        <f t="shared" si="12"/>
        <v>0</v>
      </c>
      <c r="H203" s="70">
        <v>7200</v>
      </c>
      <c r="I203" s="70">
        <v>0</v>
      </c>
      <c r="J203" s="70">
        <v>0</v>
      </c>
      <c r="K203" s="3000">
        <f t="shared" si="13"/>
        <v>7200</v>
      </c>
      <c r="L203" s="70">
        <v>0</v>
      </c>
      <c r="M203" s="70">
        <v>0</v>
      </c>
      <c r="N203" s="70">
        <v>0</v>
      </c>
      <c r="O203" s="3000">
        <f t="shared" si="14"/>
        <v>0</v>
      </c>
      <c r="P203" s="70">
        <v>0</v>
      </c>
      <c r="Q203" s="70">
        <v>8400</v>
      </c>
      <c r="R203" s="70">
        <v>0</v>
      </c>
      <c r="S203" s="3000">
        <f t="shared" si="15"/>
        <v>8400</v>
      </c>
      <c r="T203" s="70" t="s">
        <v>2066</v>
      </c>
      <c r="U203" s="70" t="s">
        <v>893</v>
      </c>
      <c r="V203" s="2921">
        <v>2</v>
      </c>
      <c r="W203" s="2921">
        <v>6</v>
      </c>
      <c r="X203" s="2921">
        <v>2</v>
      </c>
    </row>
    <row r="204" spans="1:24">
      <c r="A204" s="2930">
        <v>197</v>
      </c>
      <c r="B204" s="70" t="s">
        <v>1997</v>
      </c>
      <c r="C204" s="70">
        <v>0</v>
      </c>
      <c r="D204" s="70">
        <v>0</v>
      </c>
      <c r="E204" s="70">
        <v>0</v>
      </c>
      <c r="F204" s="70">
        <v>0</v>
      </c>
      <c r="G204" s="3000">
        <f t="shared" si="12"/>
        <v>0</v>
      </c>
      <c r="H204" s="70">
        <v>0</v>
      </c>
      <c r="I204" s="70">
        <v>0</v>
      </c>
      <c r="J204" s="70">
        <v>0</v>
      </c>
      <c r="K204" s="3000">
        <f t="shared" si="13"/>
        <v>0</v>
      </c>
      <c r="L204" s="70">
        <v>0</v>
      </c>
      <c r="M204" s="70">
        <v>0</v>
      </c>
      <c r="N204" s="70">
        <v>0</v>
      </c>
      <c r="O204" s="3000">
        <f t="shared" si="14"/>
        <v>0</v>
      </c>
      <c r="P204" s="70">
        <v>0</v>
      </c>
      <c r="Q204" s="70">
        <v>0</v>
      </c>
      <c r="R204" s="70">
        <v>0</v>
      </c>
      <c r="S204" s="3000">
        <f t="shared" si="15"/>
        <v>0</v>
      </c>
      <c r="T204" s="70" t="s">
        <v>2066</v>
      </c>
      <c r="U204" s="70" t="s">
        <v>893</v>
      </c>
      <c r="V204" s="2921">
        <v>1</v>
      </c>
      <c r="W204" s="2921">
        <v>3</v>
      </c>
      <c r="X204" s="2921">
        <v>2</v>
      </c>
    </row>
    <row r="205" spans="1:24">
      <c r="A205" s="2891">
        <v>198</v>
      </c>
      <c r="B205" s="70" t="s">
        <v>2006</v>
      </c>
      <c r="C205" s="70">
        <v>95600</v>
      </c>
      <c r="D205" s="70">
        <v>0</v>
      </c>
      <c r="E205" s="70">
        <v>0</v>
      </c>
      <c r="F205" s="70">
        <v>0</v>
      </c>
      <c r="G205" s="3000">
        <f t="shared" si="12"/>
        <v>0</v>
      </c>
      <c r="H205" s="70">
        <v>47800</v>
      </c>
      <c r="I205" s="70">
        <v>0</v>
      </c>
      <c r="J205" s="70">
        <v>0</v>
      </c>
      <c r="K205" s="3000">
        <f t="shared" si="13"/>
        <v>47800</v>
      </c>
      <c r="L205" s="70">
        <v>47800</v>
      </c>
      <c r="M205" s="70">
        <v>0</v>
      </c>
      <c r="N205" s="70">
        <v>0</v>
      </c>
      <c r="O205" s="3000">
        <f t="shared" si="14"/>
        <v>47800</v>
      </c>
      <c r="P205" s="70">
        <v>0</v>
      </c>
      <c r="Q205" s="70">
        <v>0</v>
      </c>
      <c r="R205" s="70">
        <v>0</v>
      </c>
      <c r="S205" s="3000">
        <f t="shared" si="15"/>
        <v>0</v>
      </c>
      <c r="T205" s="70" t="s">
        <v>2066</v>
      </c>
      <c r="U205" s="70" t="s">
        <v>1048</v>
      </c>
      <c r="V205" s="2921">
        <v>1</v>
      </c>
      <c r="W205" s="2921">
        <v>3</v>
      </c>
      <c r="X205" s="2921">
        <v>2</v>
      </c>
    </row>
    <row r="206" spans="1:24">
      <c r="A206" s="2930">
        <v>199</v>
      </c>
      <c r="B206" s="70" t="s">
        <v>2018</v>
      </c>
      <c r="C206" s="70">
        <v>254600</v>
      </c>
      <c r="D206" s="70">
        <v>0</v>
      </c>
      <c r="E206" s="70">
        <v>0</v>
      </c>
      <c r="F206" s="70">
        <v>500</v>
      </c>
      <c r="G206" s="3000">
        <f t="shared" si="12"/>
        <v>500</v>
      </c>
      <c r="H206" s="70">
        <v>500</v>
      </c>
      <c r="I206" s="70">
        <v>216500</v>
      </c>
      <c r="J206" s="70">
        <v>20900</v>
      </c>
      <c r="K206" s="3000">
        <f t="shared" si="13"/>
        <v>237900</v>
      </c>
      <c r="L206" s="70">
        <v>500</v>
      </c>
      <c r="M206" s="70">
        <v>8300</v>
      </c>
      <c r="N206" s="70">
        <v>500</v>
      </c>
      <c r="O206" s="3000">
        <f t="shared" si="14"/>
        <v>9300</v>
      </c>
      <c r="P206" s="70">
        <v>5900</v>
      </c>
      <c r="Q206" s="70">
        <v>500</v>
      </c>
      <c r="R206" s="70">
        <v>500</v>
      </c>
      <c r="S206" s="3000">
        <f t="shared" si="15"/>
        <v>6900</v>
      </c>
      <c r="T206" s="70" t="s">
        <v>2066</v>
      </c>
      <c r="U206" s="70" t="s">
        <v>893</v>
      </c>
      <c r="V206" s="2921">
        <v>1</v>
      </c>
      <c r="W206" s="2921">
        <v>3</v>
      </c>
      <c r="X206" s="2921">
        <v>2</v>
      </c>
    </row>
    <row r="207" spans="1:24">
      <c r="A207" s="2891">
        <v>200</v>
      </c>
      <c r="B207" s="70" t="s">
        <v>2038</v>
      </c>
      <c r="C207" s="70">
        <v>3500</v>
      </c>
      <c r="D207" s="70">
        <v>0</v>
      </c>
      <c r="E207" s="70">
        <v>0</v>
      </c>
      <c r="F207" s="70">
        <v>0</v>
      </c>
      <c r="G207" s="3000">
        <f t="shared" si="12"/>
        <v>0</v>
      </c>
      <c r="H207" s="70">
        <v>0</v>
      </c>
      <c r="I207" s="70">
        <v>0</v>
      </c>
      <c r="J207" s="70">
        <v>3500</v>
      </c>
      <c r="K207" s="3000">
        <f t="shared" si="13"/>
        <v>3500</v>
      </c>
      <c r="L207" s="70">
        <v>0</v>
      </c>
      <c r="M207" s="70">
        <v>0</v>
      </c>
      <c r="N207" s="70">
        <v>0</v>
      </c>
      <c r="O207" s="3000">
        <f t="shared" si="14"/>
        <v>0</v>
      </c>
      <c r="P207" s="70">
        <v>0</v>
      </c>
      <c r="Q207" s="70">
        <v>0</v>
      </c>
      <c r="R207" s="70">
        <v>0</v>
      </c>
      <c r="S207" s="3000">
        <f t="shared" si="15"/>
        <v>0</v>
      </c>
      <c r="T207" s="70" t="s">
        <v>2066</v>
      </c>
      <c r="U207" s="70" t="s">
        <v>893</v>
      </c>
      <c r="V207" s="2921">
        <v>1</v>
      </c>
      <c r="W207" s="2921">
        <v>3</v>
      </c>
      <c r="X207" s="2921">
        <v>2</v>
      </c>
    </row>
    <row r="208" spans="1:24">
      <c r="A208" s="2930">
        <v>201</v>
      </c>
      <c r="B208" s="70" t="s">
        <v>2044</v>
      </c>
      <c r="C208" s="70">
        <v>25200</v>
      </c>
      <c r="D208" s="70">
        <v>0</v>
      </c>
      <c r="E208" s="70">
        <v>0</v>
      </c>
      <c r="F208" s="70">
        <v>8400</v>
      </c>
      <c r="G208" s="3000">
        <f t="shared" si="12"/>
        <v>8400</v>
      </c>
      <c r="H208" s="70">
        <v>0</v>
      </c>
      <c r="I208" s="70">
        <v>8400</v>
      </c>
      <c r="J208" s="70">
        <v>0</v>
      </c>
      <c r="K208" s="3000">
        <f t="shared" si="13"/>
        <v>8400</v>
      </c>
      <c r="L208" s="70">
        <v>0</v>
      </c>
      <c r="M208" s="70">
        <v>8400</v>
      </c>
      <c r="N208" s="70">
        <v>0</v>
      </c>
      <c r="O208" s="3000">
        <f t="shared" si="14"/>
        <v>8400</v>
      </c>
      <c r="P208" s="70">
        <v>0</v>
      </c>
      <c r="Q208" s="70">
        <v>0</v>
      </c>
      <c r="R208" s="70">
        <v>0</v>
      </c>
      <c r="S208" s="3000">
        <f t="shared" si="15"/>
        <v>0</v>
      </c>
      <c r="T208" s="70" t="s">
        <v>2066</v>
      </c>
      <c r="U208" s="70" t="s">
        <v>893</v>
      </c>
      <c r="V208" s="2921">
        <v>1</v>
      </c>
      <c r="W208" s="2921">
        <v>3</v>
      </c>
      <c r="X208" s="2921">
        <v>2</v>
      </c>
    </row>
    <row r="209" spans="1:24">
      <c r="A209" s="2891">
        <v>202</v>
      </c>
      <c r="B209" s="70" t="s">
        <v>2050</v>
      </c>
      <c r="C209" s="70">
        <v>1542400</v>
      </c>
      <c r="D209" s="70">
        <v>0</v>
      </c>
      <c r="E209" s="70">
        <v>0</v>
      </c>
      <c r="F209" s="70">
        <v>0</v>
      </c>
      <c r="G209" s="3000">
        <f t="shared" si="12"/>
        <v>0</v>
      </c>
      <c r="H209" s="70">
        <v>1493200</v>
      </c>
      <c r="I209" s="70">
        <v>0</v>
      </c>
      <c r="J209" s="70">
        <v>0</v>
      </c>
      <c r="K209" s="3000">
        <f t="shared" si="13"/>
        <v>1493200</v>
      </c>
      <c r="L209" s="70">
        <v>0</v>
      </c>
      <c r="M209" s="70">
        <v>0</v>
      </c>
      <c r="N209" s="70">
        <v>0</v>
      </c>
      <c r="O209" s="3000">
        <f t="shared" si="14"/>
        <v>0</v>
      </c>
      <c r="P209" s="70">
        <v>0</v>
      </c>
      <c r="Q209" s="70">
        <v>49200</v>
      </c>
      <c r="R209" s="70">
        <v>0</v>
      </c>
      <c r="S209" s="3000">
        <f t="shared" si="15"/>
        <v>49200</v>
      </c>
      <c r="T209" s="70" t="s">
        <v>2066</v>
      </c>
      <c r="U209" s="70" t="s">
        <v>2051</v>
      </c>
      <c r="V209" s="2921">
        <v>1</v>
      </c>
      <c r="W209" s="2921">
        <v>3</v>
      </c>
      <c r="X209" s="2921">
        <v>2</v>
      </c>
    </row>
  </sheetData>
  <mergeCells count="10">
    <mergeCell ref="U3:U5"/>
    <mergeCell ref="D4:F4"/>
    <mergeCell ref="H4:J4"/>
    <mergeCell ref="L4:N4"/>
    <mergeCell ref="P4:R4"/>
    <mergeCell ref="A3:A5"/>
    <mergeCell ref="B3:B5"/>
    <mergeCell ref="C3:C5"/>
    <mergeCell ref="D3:R3"/>
    <mergeCell ref="T3:T5"/>
  </mergeCells>
  <phoneticPr fontId="149"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60"/>
  <sheetViews>
    <sheetView topLeftCell="A19" workbookViewId="0">
      <selection sqref="A1:D83"/>
    </sheetView>
  </sheetViews>
  <sheetFormatPr defaultRowHeight="21.45"/>
  <cols>
    <col min="1" max="1" width="7.35546875" style="50" customWidth="1"/>
    <col min="2" max="2" width="21.85546875" style="50" customWidth="1"/>
    <col min="3" max="3" width="8.7109375" style="51" customWidth="1"/>
    <col min="4" max="4" width="59.2109375" style="50" customWidth="1"/>
  </cols>
  <sheetData>
    <row r="1" spans="1:4">
      <c r="A1" s="3050" t="s">
        <v>234</v>
      </c>
      <c r="B1" s="3051"/>
      <c r="C1" s="3051"/>
      <c r="D1" s="3051"/>
    </row>
    <row r="2" spans="1:4" ht="13.75">
      <c r="A2" s="3052" t="s">
        <v>38</v>
      </c>
      <c r="B2" s="3055" t="s">
        <v>39</v>
      </c>
      <c r="C2" s="3058" t="s">
        <v>40</v>
      </c>
      <c r="D2" s="3055" t="s">
        <v>41</v>
      </c>
    </row>
    <row r="3" spans="1:4" ht="13.75">
      <c r="A3" s="3053"/>
      <c r="B3" s="3056"/>
      <c r="C3" s="3059"/>
      <c r="D3" s="3056"/>
    </row>
    <row r="4" spans="1:4" ht="13.75">
      <c r="A4" s="3054"/>
      <c r="B4" s="3057"/>
      <c r="C4" s="3060"/>
      <c r="D4" s="3057"/>
    </row>
    <row r="5" spans="1:4">
      <c r="A5" s="1" t="s">
        <v>235</v>
      </c>
      <c r="B5" s="2"/>
      <c r="C5" s="3"/>
      <c r="D5" s="2"/>
    </row>
    <row r="6" spans="1:4" ht="23.25" customHeight="1">
      <c r="A6" s="4" t="s">
        <v>42</v>
      </c>
      <c r="B6" s="5"/>
      <c r="C6" s="6"/>
      <c r="D6" s="5"/>
    </row>
    <row r="7" spans="1:4" ht="21" customHeight="1">
      <c r="A7" s="3029">
        <v>1</v>
      </c>
      <c r="B7" s="3029" t="s">
        <v>43</v>
      </c>
      <c r="C7" s="7">
        <v>1</v>
      </c>
      <c r="D7" s="8" t="s">
        <v>44</v>
      </c>
    </row>
    <row r="8" spans="1:4" ht="21" customHeight="1">
      <c r="A8" s="3030"/>
      <c r="B8" s="3030"/>
      <c r="C8" s="7">
        <v>2</v>
      </c>
      <c r="D8" s="8" t="s">
        <v>45</v>
      </c>
    </row>
    <row r="9" spans="1:4" ht="41.7" customHeight="1">
      <c r="A9" s="3030"/>
      <c r="B9" s="3030"/>
      <c r="C9" s="7">
        <v>3</v>
      </c>
      <c r="D9" s="8" t="s">
        <v>191</v>
      </c>
    </row>
    <row r="10" spans="1:4" ht="31.5" customHeight="1">
      <c r="A10" s="3030"/>
      <c r="B10" s="3030"/>
      <c r="C10" s="7">
        <v>4</v>
      </c>
      <c r="D10" s="8" t="s">
        <v>46</v>
      </c>
    </row>
    <row r="11" spans="1:4" ht="31.5" customHeight="1">
      <c r="A11" s="3030"/>
      <c r="B11" s="3030"/>
      <c r="C11" s="7">
        <v>5</v>
      </c>
      <c r="D11" s="8" t="s">
        <v>47</v>
      </c>
    </row>
    <row r="12" spans="1:4" ht="31.5" customHeight="1">
      <c r="A12" s="3030"/>
      <c r="B12" s="3030"/>
      <c r="C12" s="30">
        <v>6</v>
      </c>
      <c r="D12" s="8" t="s">
        <v>192</v>
      </c>
    </row>
    <row r="13" spans="1:4" ht="42.65" customHeight="1">
      <c r="A13" s="3030"/>
      <c r="B13" s="3030"/>
      <c r="C13" s="30">
        <v>7</v>
      </c>
      <c r="D13" s="8" t="s">
        <v>48</v>
      </c>
    </row>
    <row r="14" spans="1:4" ht="48" customHeight="1">
      <c r="A14" s="7">
        <v>2</v>
      </c>
      <c r="B14" s="9" t="s">
        <v>49</v>
      </c>
      <c r="C14" s="7">
        <v>8</v>
      </c>
      <c r="D14" s="8" t="s">
        <v>193</v>
      </c>
    </row>
    <row r="15" spans="1:4">
      <c r="A15" s="10" t="s">
        <v>50</v>
      </c>
      <c r="B15" s="11"/>
      <c r="C15" s="12"/>
      <c r="D15" s="13"/>
    </row>
    <row r="16" spans="1:4" ht="42.9">
      <c r="A16" s="7">
        <v>3</v>
      </c>
      <c r="B16" s="9" t="s">
        <v>51</v>
      </c>
      <c r="C16" s="14">
        <v>9</v>
      </c>
      <c r="D16" s="15" t="s">
        <v>194</v>
      </c>
    </row>
    <row r="17" spans="1:4">
      <c r="A17" s="4" t="s">
        <v>52</v>
      </c>
      <c r="B17" s="5"/>
      <c r="C17" s="16"/>
      <c r="D17" s="17"/>
    </row>
    <row r="18" spans="1:4" ht="49" customHeight="1">
      <c r="A18" s="7">
        <v>4</v>
      </c>
      <c r="B18" s="18" t="s">
        <v>53</v>
      </c>
      <c r="C18" s="14">
        <v>10</v>
      </c>
      <c r="D18" s="19" t="s">
        <v>195</v>
      </c>
    </row>
    <row r="19" spans="1:4" ht="47.15" customHeight="1">
      <c r="A19" s="3029">
        <v>5</v>
      </c>
      <c r="B19" s="3029" t="s">
        <v>54</v>
      </c>
      <c r="C19" s="30">
        <v>11</v>
      </c>
      <c r="D19" s="8" t="s">
        <v>55</v>
      </c>
    </row>
    <row r="20" spans="1:4" ht="41.7" customHeight="1">
      <c r="A20" s="3030"/>
      <c r="B20" s="3030"/>
      <c r="C20" s="20">
        <v>12</v>
      </c>
      <c r="D20" s="8" t="s">
        <v>196</v>
      </c>
    </row>
    <row r="21" spans="1:4" ht="51" customHeight="1">
      <c r="A21" s="3038">
        <v>6</v>
      </c>
      <c r="B21" s="3038" t="s">
        <v>56</v>
      </c>
      <c r="C21" s="7">
        <v>13</v>
      </c>
      <c r="D21" s="8" t="s">
        <v>197</v>
      </c>
    </row>
    <row r="22" spans="1:4" ht="35.15" customHeight="1">
      <c r="A22" s="3038"/>
      <c r="B22" s="3038"/>
      <c r="C22" s="21">
        <v>14</v>
      </c>
      <c r="D22" s="8" t="s">
        <v>198</v>
      </c>
    </row>
    <row r="23" spans="1:4">
      <c r="A23" s="22" t="s">
        <v>57</v>
      </c>
      <c r="B23" s="23"/>
      <c r="C23" s="24"/>
      <c r="D23" s="23"/>
    </row>
    <row r="24" spans="1:4" ht="43.5" customHeight="1">
      <c r="A24" s="7">
        <v>7</v>
      </c>
      <c r="B24" s="9" t="s">
        <v>58</v>
      </c>
      <c r="C24" s="25">
        <v>15</v>
      </c>
      <c r="D24" s="26" t="s">
        <v>59</v>
      </c>
    </row>
    <row r="25" spans="1:4" ht="33" customHeight="1">
      <c r="A25" s="3039" t="s">
        <v>60</v>
      </c>
      <c r="B25" s="3040"/>
      <c r="C25" s="3040"/>
      <c r="D25" s="3040"/>
    </row>
    <row r="26" spans="1:4">
      <c r="A26" s="4" t="s">
        <v>61</v>
      </c>
      <c r="B26" s="27"/>
      <c r="C26" s="28"/>
      <c r="D26" s="27"/>
    </row>
    <row r="27" spans="1:4" ht="43" customHeight="1">
      <c r="A27" s="3029">
        <v>8</v>
      </c>
      <c r="B27" s="3042" t="s">
        <v>62</v>
      </c>
      <c r="C27" s="14">
        <v>16</v>
      </c>
      <c r="D27" s="19" t="s">
        <v>199</v>
      </c>
    </row>
    <row r="28" spans="1:4" ht="37.4" customHeight="1">
      <c r="A28" s="3041"/>
      <c r="B28" s="3043"/>
      <c r="C28" s="14">
        <v>17</v>
      </c>
      <c r="D28" s="19" t="s">
        <v>200</v>
      </c>
    </row>
    <row r="29" spans="1:4" ht="41.15" customHeight="1">
      <c r="A29" s="7">
        <v>9</v>
      </c>
      <c r="B29" s="29" t="s">
        <v>63</v>
      </c>
      <c r="C29" s="7">
        <v>18</v>
      </c>
      <c r="D29" s="8" t="s">
        <v>201</v>
      </c>
    </row>
    <row r="30" spans="1:4">
      <c r="A30" s="4" t="s">
        <v>64</v>
      </c>
      <c r="B30" s="5"/>
      <c r="C30" s="6"/>
      <c r="D30" s="5"/>
    </row>
    <row r="31" spans="1:4" ht="58" customHeight="1">
      <c r="A31" s="30">
        <v>10</v>
      </c>
      <c r="B31" s="36" t="s">
        <v>65</v>
      </c>
      <c r="C31" s="30">
        <v>19</v>
      </c>
      <c r="D31" s="8" t="s">
        <v>66</v>
      </c>
    </row>
    <row r="32" spans="1:4" ht="64" customHeight="1">
      <c r="A32" s="30">
        <v>11</v>
      </c>
      <c r="B32" s="30" t="s">
        <v>67</v>
      </c>
      <c r="C32" s="30">
        <v>20</v>
      </c>
      <c r="D32" s="8" t="s">
        <v>68</v>
      </c>
    </row>
    <row r="33" spans="1:4" ht="43.5" customHeight="1">
      <c r="A33" s="3046">
        <v>12</v>
      </c>
      <c r="B33" s="3048" t="s">
        <v>69</v>
      </c>
      <c r="C33" s="29">
        <v>21</v>
      </c>
      <c r="D33" s="8" t="s">
        <v>202</v>
      </c>
    </row>
    <row r="34" spans="1:4" ht="46.75" customHeight="1">
      <c r="A34" s="3047"/>
      <c r="B34" s="3049"/>
      <c r="C34" s="29">
        <v>22</v>
      </c>
      <c r="D34" s="8" t="s">
        <v>203</v>
      </c>
    </row>
    <row r="35" spans="1:4" ht="61.5" customHeight="1">
      <c r="A35" s="7">
        <v>13</v>
      </c>
      <c r="B35" s="8" t="s">
        <v>70</v>
      </c>
      <c r="C35" s="7">
        <v>23</v>
      </c>
      <c r="D35" s="8" t="s">
        <v>71</v>
      </c>
    </row>
    <row r="36" spans="1:4" ht="64.3">
      <c r="A36" s="7">
        <v>14</v>
      </c>
      <c r="B36" s="19" t="s">
        <v>204</v>
      </c>
      <c r="C36" s="7">
        <v>24</v>
      </c>
      <c r="D36" s="8" t="s">
        <v>205</v>
      </c>
    </row>
    <row r="37" spans="1:4" ht="67.400000000000006" customHeight="1">
      <c r="A37" s="3036">
        <v>15</v>
      </c>
      <c r="B37" s="3034" t="s">
        <v>72</v>
      </c>
      <c r="C37" s="7">
        <v>25</v>
      </c>
      <c r="D37" s="8" t="s">
        <v>206</v>
      </c>
    </row>
    <row r="38" spans="1:4" ht="67.400000000000006" customHeight="1">
      <c r="A38" s="3037"/>
      <c r="B38" s="3035"/>
      <c r="C38" s="7">
        <v>26</v>
      </c>
      <c r="D38" s="8" t="s">
        <v>207</v>
      </c>
    </row>
    <row r="39" spans="1:4" ht="36.75" customHeight="1">
      <c r="A39" s="3029">
        <v>16</v>
      </c>
      <c r="B39" s="3061" t="s">
        <v>73</v>
      </c>
      <c r="C39" s="7">
        <v>27</v>
      </c>
      <c r="D39" s="8" t="s">
        <v>208</v>
      </c>
    </row>
    <row r="40" spans="1:4" ht="23.15" customHeight="1">
      <c r="A40" s="3030"/>
      <c r="B40" s="3062"/>
      <c r="C40" s="30">
        <v>28</v>
      </c>
      <c r="D40" s="8" t="s">
        <v>74</v>
      </c>
    </row>
    <row r="41" spans="1:4" ht="32.15" customHeight="1">
      <c r="A41" s="3029">
        <v>17</v>
      </c>
      <c r="B41" s="3044" t="s">
        <v>75</v>
      </c>
      <c r="C41" s="7">
        <v>29</v>
      </c>
      <c r="D41" s="8" t="s">
        <v>209</v>
      </c>
    </row>
    <row r="42" spans="1:4" ht="76" customHeight="1">
      <c r="A42" s="3041"/>
      <c r="B42" s="3045"/>
      <c r="C42" s="33">
        <v>30</v>
      </c>
      <c r="D42" s="34" t="s">
        <v>210</v>
      </c>
    </row>
    <row r="43" spans="1:4" ht="46.4" customHeight="1">
      <c r="A43" s="30">
        <v>18</v>
      </c>
      <c r="B43" s="30" t="s">
        <v>76</v>
      </c>
      <c r="C43" s="35">
        <v>31</v>
      </c>
      <c r="D43" s="34" t="s">
        <v>77</v>
      </c>
    </row>
    <row r="44" spans="1:4" ht="72.650000000000006" customHeight="1">
      <c r="A44" s="30">
        <v>19</v>
      </c>
      <c r="B44" s="36" t="s">
        <v>78</v>
      </c>
      <c r="C44" s="30">
        <v>32</v>
      </c>
      <c r="D44" s="8" t="s">
        <v>211</v>
      </c>
    </row>
    <row r="45" spans="1:4" ht="49" customHeight="1">
      <c r="A45" s="7">
        <v>20</v>
      </c>
      <c r="B45" s="8" t="s">
        <v>79</v>
      </c>
      <c r="C45" s="7">
        <v>33</v>
      </c>
      <c r="D45" s="8" t="s">
        <v>212</v>
      </c>
    </row>
    <row r="46" spans="1:4" ht="42.9">
      <c r="A46" s="7">
        <v>21</v>
      </c>
      <c r="B46" s="8" t="s">
        <v>80</v>
      </c>
      <c r="C46" s="7">
        <v>34</v>
      </c>
      <c r="D46" s="8" t="s">
        <v>213</v>
      </c>
    </row>
    <row r="47" spans="1:4" ht="85.4" customHeight="1">
      <c r="A47" s="7">
        <v>22</v>
      </c>
      <c r="B47" s="8" t="s">
        <v>81</v>
      </c>
      <c r="C47" s="7">
        <v>35</v>
      </c>
      <c r="D47" s="8" t="s">
        <v>214</v>
      </c>
    </row>
    <row r="48" spans="1:4" ht="55.75" customHeight="1">
      <c r="A48" s="30">
        <v>23</v>
      </c>
      <c r="B48" s="36" t="s">
        <v>82</v>
      </c>
      <c r="C48" s="7">
        <v>36</v>
      </c>
      <c r="D48" s="8" t="s">
        <v>215</v>
      </c>
    </row>
    <row r="49" spans="1:4" ht="48.65" customHeight="1">
      <c r="A49" s="30">
        <v>24</v>
      </c>
      <c r="B49" s="30" t="s">
        <v>83</v>
      </c>
      <c r="C49" s="7">
        <v>37</v>
      </c>
      <c r="D49" s="8" t="s">
        <v>216</v>
      </c>
    </row>
    <row r="50" spans="1:4" ht="45" customHeight="1">
      <c r="A50" s="3029">
        <v>25</v>
      </c>
      <c r="B50" s="3029" t="s">
        <v>84</v>
      </c>
      <c r="C50" s="7">
        <v>38</v>
      </c>
      <c r="D50" s="8" t="s">
        <v>217</v>
      </c>
    </row>
    <row r="51" spans="1:4" ht="49.75" customHeight="1">
      <c r="A51" s="3041"/>
      <c r="B51" s="3041"/>
      <c r="C51" s="7">
        <v>39</v>
      </c>
      <c r="D51" s="8" t="s">
        <v>218</v>
      </c>
    </row>
    <row r="52" spans="1:4" ht="31.5" customHeight="1">
      <c r="A52" s="30">
        <v>26</v>
      </c>
      <c r="B52" s="30" t="s">
        <v>85</v>
      </c>
      <c r="C52" s="30">
        <v>40</v>
      </c>
      <c r="D52" s="8" t="s">
        <v>86</v>
      </c>
    </row>
    <row r="53" spans="1:4">
      <c r="A53" s="4" t="s">
        <v>87</v>
      </c>
      <c r="B53" s="5"/>
      <c r="C53" s="16"/>
      <c r="D53" s="17"/>
    </row>
    <row r="54" spans="1:4" ht="48.65" customHeight="1">
      <c r="A54" s="3038">
        <v>27</v>
      </c>
      <c r="B54" s="3063" t="s">
        <v>88</v>
      </c>
      <c r="C54" s="29">
        <v>41</v>
      </c>
      <c r="D54" s="19" t="s">
        <v>89</v>
      </c>
    </row>
    <row r="55" spans="1:4">
      <c r="A55" s="3038"/>
      <c r="B55" s="3063"/>
      <c r="C55" s="29">
        <v>42</v>
      </c>
      <c r="D55" s="19" t="s">
        <v>219</v>
      </c>
    </row>
    <row r="56" spans="1:4" ht="42.9">
      <c r="A56" s="3038"/>
      <c r="B56" s="3063"/>
      <c r="C56" s="31">
        <v>43</v>
      </c>
      <c r="D56" s="19" t="s">
        <v>220</v>
      </c>
    </row>
    <row r="57" spans="1:4">
      <c r="A57" s="4" t="s">
        <v>90</v>
      </c>
      <c r="B57" s="5"/>
      <c r="C57" s="6"/>
      <c r="D57" s="37"/>
    </row>
    <row r="58" spans="1:4" ht="70.5" customHeight="1">
      <c r="A58" s="7">
        <v>28</v>
      </c>
      <c r="B58" s="8" t="s">
        <v>91</v>
      </c>
      <c r="C58" s="7">
        <v>44</v>
      </c>
      <c r="D58" s="8" t="s">
        <v>221</v>
      </c>
    </row>
    <row r="59" spans="1:4" ht="21.65" customHeight="1">
      <c r="A59" s="3031" t="s">
        <v>92</v>
      </c>
      <c r="B59" s="3032"/>
      <c r="C59" s="3032"/>
      <c r="D59" s="3033"/>
    </row>
    <row r="60" spans="1:4" ht="42.9">
      <c r="A60" s="3038">
        <v>29</v>
      </c>
      <c r="B60" s="3064" t="s">
        <v>93</v>
      </c>
      <c r="C60" s="7">
        <v>45</v>
      </c>
      <c r="D60" s="8" t="s">
        <v>94</v>
      </c>
    </row>
    <row r="61" spans="1:4" ht="72" customHeight="1">
      <c r="A61" s="3038"/>
      <c r="B61" s="3064"/>
      <c r="C61" s="7">
        <v>46</v>
      </c>
      <c r="D61" s="8" t="s">
        <v>222</v>
      </c>
    </row>
    <row r="62" spans="1:4">
      <c r="A62" s="1" t="s">
        <v>236</v>
      </c>
      <c r="B62" s="2"/>
      <c r="C62" s="3"/>
      <c r="D62" s="2"/>
    </row>
    <row r="63" spans="1:4">
      <c r="A63" s="4" t="s">
        <v>95</v>
      </c>
      <c r="B63" s="5"/>
      <c r="C63" s="38"/>
      <c r="D63" s="39"/>
    </row>
    <row r="64" spans="1:4" ht="50.15" customHeight="1">
      <c r="A64" s="7">
        <v>30</v>
      </c>
      <c r="B64" s="7" t="s">
        <v>96</v>
      </c>
      <c r="C64" s="29">
        <v>47</v>
      </c>
      <c r="D64" s="19" t="s">
        <v>223</v>
      </c>
    </row>
    <row r="65" spans="1:4" ht="23.7" customHeight="1">
      <c r="A65" s="7">
        <v>31</v>
      </c>
      <c r="B65" s="7" t="s">
        <v>97</v>
      </c>
      <c r="C65" s="29">
        <v>48</v>
      </c>
      <c r="D65" s="19" t="s">
        <v>224</v>
      </c>
    </row>
    <row r="66" spans="1:4" ht="26.25" customHeight="1">
      <c r="A66" s="3065" t="s">
        <v>237</v>
      </c>
      <c r="B66" s="3066"/>
      <c r="C66" s="3066"/>
      <c r="D66" s="3067"/>
    </row>
    <row r="67" spans="1:4">
      <c r="A67" s="40" t="s">
        <v>98</v>
      </c>
      <c r="B67" s="5"/>
      <c r="C67" s="16"/>
      <c r="D67" s="17"/>
    </row>
    <row r="68" spans="1:4" ht="62.15" customHeight="1">
      <c r="A68" s="7">
        <v>32</v>
      </c>
      <c r="B68" s="19" t="s">
        <v>99</v>
      </c>
      <c r="C68" s="7">
        <v>49</v>
      </c>
      <c r="D68" s="8" t="s">
        <v>225</v>
      </c>
    </row>
    <row r="69" spans="1:4" ht="62.15" customHeight="1">
      <c r="A69" s="30"/>
      <c r="B69" s="32"/>
      <c r="C69" s="7">
        <v>50</v>
      </c>
      <c r="D69" s="8" t="s">
        <v>226</v>
      </c>
    </row>
    <row r="70" spans="1:4" ht="49" customHeight="1">
      <c r="A70" s="3029">
        <v>33</v>
      </c>
      <c r="B70" s="3046" t="s">
        <v>100</v>
      </c>
      <c r="C70" s="7">
        <v>51</v>
      </c>
      <c r="D70" s="8" t="s">
        <v>227</v>
      </c>
    </row>
    <row r="71" spans="1:4" ht="34.75" customHeight="1">
      <c r="A71" s="3030"/>
      <c r="B71" s="3047"/>
      <c r="C71" s="31">
        <v>52</v>
      </c>
      <c r="D71" s="19" t="s">
        <v>101</v>
      </c>
    </row>
    <row r="72" spans="1:4" ht="33.65" customHeight="1">
      <c r="A72" s="3041"/>
      <c r="B72" s="3068"/>
      <c r="C72" s="7">
        <v>53</v>
      </c>
      <c r="D72" s="8" t="s">
        <v>228</v>
      </c>
    </row>
    <row r="73" spans="1:4" ht="21" customHeight="1">
      <c r="A73" s="41" t="s">
        <v>102</v>
      </c>
      <c r="B73" s="42"/>
      <c r="C73" s="16"/>
      <c r="D73" s="17"/>
    </row>
    <row r="74" spans="1:4" ht="41.5" customHeight="1">
      <c r="A74" s="7">
        <v>34</v>
      </c>
      <c r="B74" s="9" t="s">
        <v>103</v>
      </c>
      <c r="C74" s="7">
        <v>54</v>
      </c>
      <c r="D74" s="8" t="s">
        <v>229</v>
      </c>
    </row>
    <row r="75" spans="1:4" ht="41.5" customHeight="1">
      <c r="A75" s="7"/>
      <c r="B75" s="9"/>
      <c r="C75" s="7">
        <v>55</v>
      </c>
      <c r="D75" s="8" t="s">
        <v>230</v>
      </c>
    </row>
    <row r="76" spans="1:4">
      <c r="A76" s="4" t="s">
        <v>104</v>
      </c>
      <c r="B76" s="5"/>
      <c r="C76" s="16"/>
      <c r="D76" s="17"/>
    </row>
    <row r="77" spans="1:4" ht="45.65" customHeight="1">
      <c r="A77" s="3038">
        <v>35</v>
      </c>
      <c r="B77" s="3061" t="s">
        <v>105</v>
      </c>
      <c r="C77" s="7">
        <v>56</v>
      </c>
      <c r="D77" s="8" t="s">
        <v>231</v>
      </c>
    </row>
    <row r="78" spans="1:4" ht="46.75" customHeight="1">
      <c r="A78" s="3038"/>
      <c r="B78" s="3062"/>
      <c r="C78" s="29">
        <v>57</v>
      </c>
      <c r="D78" s="19" t="s">
        <v>106</v>
      </c>
    </row>
    <row r="79" spans="1:4" ht="36" customHeight="1">
      <c r="A79" s="7">
        <v>36</v>
      </c>
      <c r="B79" s="7" t="s">
        <v>107</v>
      </c>
      <c r="C79" s="7">
        <v>58</v>
      </c>
      <c r="D79" s="8" t="s">
        <v>108</v>
      </c>
    </row>
    <row r="80" spans="1:4">
      <c r="A80" s="4" t="s">
        <v>109</v>
      </c>
      <c r="B80" s="5"/>
      <c r="C80" s="16"/>
      <c r="D80" s="17"/>
    </row>
    <row r="81" spans="1:4" ht="27" customHeight="1">
      <c r="A81" s="30">
        <v>37</v>
      </c>
      <c r="B81" s="36" t="s">
        <v>110</v>
      </c>
      <c r="C81" s="7">
        <v>59</v>
      </c>
      <c r="D81" s="8" t="s">
        <v>232</v>
      </c>
    </row>
    <row r="82" spans="1:4" ht="29.15" customHeight="1">
      <c r="A82" s="43"/>
      <c r="B82" s="44" t="s">
        <v>111</v>
      </c>
      <c r="C82" s="45"/>
      <c r="D82" s="46"/>
    </row>
    <row r="83" spans="1:4">
      <c r="A83" s="47"/>
      <c r="B83" s="47"/>
      <c r="C83" s="38"/>
      <c r="D83" s="48" t="s">
        <v>233</v>
      </c>
    </row>
    <row r="84" spans="1:4">
      <c r="A84" s="47"/>
      <c r="B84" s="47"/>
      <c r="C84" s="49"/>
      <c r="D84" s="47"/>
    </row>
    <row r="85" spans="1:4">
      <c r="A85" s="47"/>
      <c r="B85" s="47"/>
      <c r="C85" s="49"/>
      <c r="D85" s="47"/>
    </row>
    <row r="86" spans="1:4">
      <c r="A86" s="47"/>
      <c r="B86" s="47"/>
      <c r="C86" s="49"/>
      <c r="D86" s="47"/>
    </row>
    <row r="87" spans="1:4">
      <c r="A87" s="47"/>
      <c r="B87" s="47"/>
      <c r="C87" s="49"/>
      <c r="D87" s="47"/>
    </row>
    <row r="88" spans="1:4">
      <c r="A88" s="47"/>
      <c r="B88" s="47"/>
      <c r="C88" s="49"/>
      <c r="D88" s="47"/>
    </row>
    <row r="89" spans="1:4">
      <c r="A89" s="47"/>
      <c r="B89" s="47"/>
      <c r="C89" s="49"/>
      <c r="D89" s="47"/>
    </row>
    <row r="90" spans="1:4">
      <c r="A90" s="47"/>
      <c r="B90" s="47"/>
      <c r="C90" s="49"/>
      <c r="D90" s="47"/>
    </row>
    <row r="91" spans="1:4">
      <c r="A91" s="47"/>
      <c r="B91" s="47"/>
      <c r="C91" s="49"/>
      <c r="D91" s="47"/>
    </row>
    <row r="92" spans="1:4">
      <c r="A92" s="47"/>
      <c r="B92" s="47"/>
      <c r="C92" s="49"/>
      <c r="D92" s="47"/>
    </row>
    <row r="93" spans="1:4">
      <c r="A93" s="47"/>
      <c r="B93" s="47"/>
      <c r="C93" s="49"/>
      <c r="D93" s="47"/>
    </row>
    <row r="94" spans="1:4">
      <c r="A94" s="47"/>
      <c r="B94" s="47"/>
      <c r="C94" s="49"/>
      <c r="D94" s="47"/>
    </row>
    <row r="95" spans="1:4">
      <c r="A95" s="47"/>
      <c r="B95" s="47"/>
      <c r="C95" s="49"/>
      <c r="D95" s="47"/>
    </row>
    <row r="96" spans="1:4">
      <c r="A96" s="47"/>
      <c r="B96" s="47"/>
      <c r="C96" s="49"/>
      <c r="D96" s="47"/>
    </row>
    <row r="97" spans="1:4">
      <c r="A97" s="47"/>
      <c r="B97" s="47"/>
      <c r="C97" s="49"/>
      <c r="D97" s="47"/>
    </row>
    <row r="98" spans="1:4">
      <c r="A98" s="47"/>
      <c r="B98" s="47"/>
      <c r="C98" s="49"/>
      <c r="D98" s="47"/>
    </row>
    <row r="99" spans="1:4">
      <c r="A99" s="47"/>
      <c r="B99" s="47"/>
      <c r="C99" s="49"/>
      <c r="D99" s="47"/>
    </row>
    <row r="100" spans="1:4">
      <c r="A100" s="47"/>
      <c r="B100" s="47"/>
      <c r="C100" s="49"/>
      <c r="D100" s="47"/>
    </row>
    <row r="101" spans="1:4">
      <c r="A101" s="47"/>
      <c r="B101" s="47"/>
      <c r="C101" s="49"/>
      <c r="D101" s="47"/>
    </row>
    <row r="102" spans="1:4">
      <c r="A102" s="47"/>
      <c r="B102" s="47"/>
      <c r="C102" s="49"/>
      <c r="D102" s="47"/>
    </row>
    <row r="103" spans="1:4">
      <c r="A103" s="47"/>
      <c r="B103" s="47"/>
      <c r="C103" s="49"/>
      <c r="D103" s="47"/>
    </row>
    <row r="104" spans="1:4">
      <c r="A104" s="47"/>
      <c r="B104" s="47"/>
      <c r="C104" s="49"/>
      <c r="D104" s="47"/>
    </row>
    <row r="105" spans="1:4">
      <c r="A105" s="47"/>
      <c r="B105" s="47"/>
      <c r="C105" s="49"/>
      <c r="D105" s="47"/>
    </row>
    <row r="106" spans="1:4">
      <c r="A106" s="47"/>
      <c r="B106" s="47"/>
      <c r="C106" s="49"/>
      <c r="D106" s="47"/>
    </row>
    <row r="107" spans="1:4">
      <c r="A107" s="47"/>
      <c r="B107" s="47"/>
      <c r="C107" s="49"/>
      <c r="D107" s="47"/>
    </row>
    <row r="108" spans="1:4">
      <c r="A108" s="47"/>
      <c r="B108" s="47"/>
      <c r="C108" s="49"/>
      <c r="D108" s="47"/>
    </row>
    <row r="109" spans="1:4">
      <c r="A109" s="47"/>
      <c r="B109" s="47"/>
      <c r="C109" s="49"/>
      <c r="D109" s="47"/>
    </row>
    <row r="110" spans="1:4">
      <c r="A110" s="47"/>
      <c r="B110" s="47"/>
      <c r="C110" s="49"/>
      <c r="D110" s="47"/>
    </row>
    <row r="111" spans="1:4">
      <c r="A111" s="47"/>
      <c r="B111" s="47"/>
      <c r="C111" s="49"/>
      <c r="D111" s="47"/>
    </row>
    <row r="112" spans="1:4">
      <c r="A112" s="47"/>
      <c r="B112" s="47"/>
      <c r="C112" s="49"/>
      <c r="D112" s="47"/>
    </row>
    <row r="113" spans="1:4">
      <c r="A113" s="47"/>
      <c r="B113" s="47"/>
      <c r="C113" s="49"/>
      <c r="D113" s="47"/>
    </row>
    <row r="114" spans="1:4">
      <c r="A114" s="47"/>
      <c r="B114" s="47"/>
      <c r="C114" s="49"/>
      <c r="D114" s="47"/>
    </row>
    <row r="115" spans="1:4">
      <c r="A115" s="47"/>
      <c r="B115" s="47"/>
      <c r="C115" s="49"/>
      <c r="D115" s="47"/>
    </row>
    <row r="116" spans="1:4">
      <c r="A116" s="47"/>
      <c r="B116" s="47"/>
      <c r="C116" s="49"/>
      <c r="D116" s="47"/>
    </row>
    <row r="117" spans="1:4">
      <c r="A117" s="47"/>
      <c r="B117" s="47"/>
      <c r="C117" s="49"/>
      <c r="D117" s="47"/>
    </row>
    <row r="118" spans="1:4">
      <c r="A118" s="47"/>
      <c r="B118" s="47"/>
      <c r="C118" s="49"/>
      <c r="D118" s="47"/>
    </row>
    <row r="119" spans="1:4">
      <c r="A119" s="47"/>
      <c r="B119" s="47"/>
      <c r="C119" s="49"/>
      <c r="D119" s="47"/>
    </row>
    <row r="120" spans="1:4">
      <c r="A120" s="47"/>
      <c r="B120" s="47"/>
      <c r="C120" s="49"/>
      <c r="D120" s="47"/>
    </row>
    <row r="121" spans="1:4">
      <c r="A121" s="47"/>
      <c r="B121" s="47"/>
      <c r="C121" s="49"/>
      <c r="D121" s="47"/>
    </row>
    <row r="122" spans="1:4">
      <c r="A122" s="47"/>
      <c r="B122" s="47"/>
      <c r="C122" s="49"/>
      <c r="D122" s="47"/>
    </row>
    <row r="123" spans="1:4">
      <c r="A123" s="47"/>
      <c r="B123" s="47"/>
      <c r="C123" s="49"/>
      <c r="D123" s="47"/>
    </row>
    <row r="124" spans="1:4">
      <c r="A124" s="47"/>
      <c r="B124" s="47"/>
      <c r="C124" s="49"/>
      <c r="D124" s="47"/>
    </row>
    <row r="125" spans="1:4">
      <c r="A125" s="47"/>
      <c r="B125" s="47"/>
      <c r="C125" s="49"/>
      <c r="D125" s="47"/>
    </row>
    <row r="126" spans="1:4">
      <c r="A126" s="47"/>
      <c r="B126" s="47"/>
      <c r="C126" s="49"/>
      <c r="D126" s="47"/>
    </row>
    <row r="127" spans="1:4">
      <c r="A127" s="47"/>
      <c r="B127" s="47"/>
      <c r="C127" s="49"/>
      <c r="D127" s="47"/>
    </row>
    <row r="128" spans="1:4">
      <c r="A128" s="47"/>
      <c r="B128" s="47"/>
      <c r="C128" s="49"/>
      <c r="D128" s="47"/>
    </row>
    <row r="129" spans="1:4">
      <c r="A129" s="47"/>
      <c r="B129" s="47"/>
      <c r="C129" s="49"/>
      <c r="D129" s="47"/>
    </row>
    <row r="130" spans="1:4">
      <c r="A130" s="47"/>
      <c r="B130" s="47"/>
      <c r="C130" s="49"/>
      <c r="D130" s="47"/>
    </row>
    <row r="131" spans="1:4">
      <c r="A131" s="47"/>
      <c r="B131" s="47"/>
      <c r="C131" s="49"/>
      <c r="D131" s="47"/>
    </row>
    <row r="132" spans="1:4">
      <c r="A132" s="47"/>
      <c r="B132" s="47"/>
      <c r="C132" s="49"/>
      <c r="D132" s="47"/>
    </row>
    <row r="133" spans="1:4">
      <c r="A133" s="47"/>
      <c r="B133" s="47"/>
      <c r="C133" s="49"/>
      <c r="D133" s="47"/>
    </row>
    <row r="134" spans="1:4">
      <c r="A134" s="47"/>
      <c r="B134" s="47"/>
      <c r="C134" s="49"/>
      <c r="D134" s="47"/>
    </row>
    <row r="135" spans="1:4">
      <c r="A135" s="47"/>
      <c r="B135" s="47"/>
      <c r="C135" s="49"/>
      <c r="D135" s="47"/>
    </row>
    <row r="136" spans="1:4">
      <c r="A136" s="47"/>
      <c r="B136" s="47"/>
      <c r="C136" s="49"/>
      <c r="D136" s="47"/>
    </row>
    <row r="137" spans="1:4">
      <c r="A137" s="47"/>
      <c r="B137" s="47"/>
      <c r="C137" s="49"/>
      <c r="D137" s="47"/>
    </row>
    <row r="138" spans="1:4">
      <c r="A138" s="47"/>
      <c r="B138" s="47"/>
      <c r="C138" s="49"/>
      <c r="D138" s="47"/>
    </row>
    <row r="139" spans="1:4">
      <c r="A139" s="47"/>
      <c r="B139" s="47"/>
      <c r="C139" s="49"/>
      <c r="D139" s="47"/>
    </row>
    <row r="140" spans="1:4">
      <c r="A140" s="47"/>
      <c r="B140" s="47"/>
      <c r="C140" s="49"/>
      <c r="D140" s="47"/>
    </row>
    <row r="141" spans="1:4">
      <c r="A141" s="47"/>
      <c r="B141" s="47"/>
      <c r="C141" s="49"/>
      <c r="D141" s="47"/>
    </row>
    <row r="142" spans="1:4">
      <c r="A142" s="47"/>
      <c r="B142" s="47"/>
      <c r="C142" s="49"/>
      <c r="D142" s="47"/>
    </row>
    <row r="143" spans="1:4">
      <c r="A143" s="47"/>
      <c r="B143" s="47"/>
      <c r="C143" s="49"/>
      <c r="D143" s="47"/>
    </row>
    <row r="144" spans="1:4">
      <c r="A144" s="47"/>
      <c r="B144" s="47"/>
      <c r="C144" s="49"/>
      <c r="D144" s="47"/>
    </row>
    <row r="145" spans="1:4">
      <c r="A145" s="47"/>
      <c r="B145" s="47"/>
      <c r="C145" s="49"/>
      <c r="D145" s="47"/>
    </row>
    <row r="146" spans="1:4">
      <c r="A146" s="47"/>
      <c r="B146" s="47"/>
      <c r="C146" s="49"/>
      <c r="D146" s="47"/>
    </row>
    <row r="147" spans="1:4">
      <c r="A147" s="47"/>
      <c r="B147" s="47"/>
      <c r="C147" s="49"/>
      <c r="D147" s="47"/>
    </row>
    <row r="148" spans="1:4">
      <c r="A148" s="47"/>
      <c r="B148" s="47"/>
      <c r="C148" s="49"/>
      <c r="D148" s="47"/>
    </row>
    <row r="149" spans="1:4">
      <c r="A149" s="47"/>
      <c r="B149" s="47"/>
      <c r="C149" s="49"/>
      <c r="D149" s="47"/>
    </row>
    <row r="150" spans="1:4">
      <c r="A150" s="47"/>
      <c r="B150" s="47"/>
      <c r="C150" s="49"/>
      <c r="D150" s="47"/>
    </row>
    <row r="151" spans="1:4">
      <c r="A151" s="47"/>
      <c r="B151" s="47"/>
      <c r="C151" s="49"/>
      <c r="D151" s="47"/>
    </row>
    <row r="152" spans="1:4">
      <c r="A152" s="47"/>
      <c r="B152" s="47"/>
      <c r="C152" s="49"/>
      <c r="D152" s="47"/>
    </row>
    <row r="153" spans="1:4">
      <c r="A153" s="47"/>
      <c r="B153" s="47"/>
      <c r="C153" s="49"/>
      <c r="D153" s="47"/>
    </row>
    <row r="154" spans="1:4">
      <c r="A154" s="47"/>
      <c r="B154" s="47"/>
      <c r="C154" s="49"/>
      <c r="D154" s="47"/>
    </row>
    <row r="155" spans="1:4">
      <c r="A155" s="47"/>
      <c r="B155" s="47"/>
      <c r="C155" s="49"/>
      <c r="D155" s="47"/>
    </row>
    <row r="156" spans="1:4">
      <c r="A156" s="47"/>
      <c r="B156" s="47"/>
      <c r="C156" s="49"/>
      <c r="D156" s="47"/>
    </row>
    <row r="157" spans="1:4">
      <c r="A157" s="47"/>
      <c r="B157" s="47"/>
      <c r="C157" s="49"/>
      <c r="D157" s="47"/>
    </row>
    <row r="158" spans="1:4">
      <c r="A158" s="47"/>
      <c r="B158" s="47"/>
      <c r="C158" s="49"/>
      <c r="D158" s="47"/>
    </row>
    <row r="159" spans="1:4">
      <c r="A159" s="47"/>
      <c r="B159" s="47"/>
      <c r="C159" s="49"/>
      <c r="D159" s="47"/>
    </row>
    <row r="160" spans="1:4">
      <c r="A160" s="47"/>
      <c r="B160" s="47"/>
      <c r="C160" s="49"/>
      <c r="D160" s="47"/>
    </row>
    <row r="161" spans="1:4">
      <c r="A161" s="47"/>
      <c r="B161" s="47"/>
      <c r="C161" s="49"/>
      <c r="D161" s="47"/>
    </row>
    <row r="162" spans="1:4">
      <c r="A162" s="47"/>
      <c r="B162" s="47"/>
      <c r="C162" s="49"/>
      <c r="D162" s="47"/>
    </row>
    <row r="163" spans="1:4">
      <c r="A163" s="47"/>
      <c r="B163" s="47"/>
      <c r="C163" s="49"/>
      <c r="D163" s="47"/>
    </row>
    <row r="164" spans="1:4">
      <c r="A164" s="47"/>
      <c r="B164" s="47"/>
      <c r="C164" s="49"/>
      <c r="D164" s="47"/>
    </row>
    <row r="165" spans="1:4">
      <c r="A165" s="47"/>
      <c r="B165" s="47"/>
      <c r="C165" s="49"/>
      <c r="D165" s="47"/>
    </row>
    <row r="166" spans="1:4">
      <c r="A166" s="47"/>
      <c r="B166" s="47"/>
      <c r="C166" s="49"/>
      <c r="D166" s="47"/>
    </row>
    <row r="167" spans="1:4">
      <c r="A167" s="47"/>
      <c r="B167" s="47"/>
      <c r="C167" s="49"/>
      <c r="D167" s="47"/>
    </row>
    <row r="168" spans="1:4">
      <c r="A168" s="47"/>
      <c r="B168" s="47"/>
      <c r="C168" s="49"/>
      <c r="D168" s="47"/>
    </row>
    <row r="169" spans="1:4">
      <c r="A169" s="47"/>
      <c r="B169" s="47"/>
      <c r="C169" s="49"/>
      <c r="D169" s="47"/>
    </row>
    <row r="170" spans="1:4">
      <c r="A170" s="47"/>
      <c r="B170" s="47"/>
      <c r="C170" s="49"/>
      <c r="D170" s="47"/>
    </row>
    <row r="171" spans="1:4">
      <c r="A171" s="47"/>
      <c r="B171" s="47"/>
      <c r="C171" s="49"/>
      <c r="D171" s="47"/>
    </row>
    <row r="172" spans="1:4">
      <c r="A172" s="47"/>
      <c r="B172" s="47"/>
      <c r="C172" s="49"/>
      <c r="D172" s="47"/>
    </row>
    <row r="173" spans="1:4">
      <c r="A173" s="47"/>
      <c r="B173" s="47"/>
      <c r="C173" s="49"/>
      <c r="D173" s="47"/>
    </row>
    <row r="174" spans="1:4">
      <c r="A174" s="47"/>
      <c r="B174" s="47"/>
      <c r="C174" s="49"/>
      <c r="D174" s="47"/>
    </row>
    <row r="175" spans="1:4">
      <c r="A175" s="47"/>
      <c r="B175" s="47"/>
      <c r="C175" s="49"/>
      <c r="D175" s="47"/>
    </row>
    <row r="176" spans="1:4">
      <c r="A176" s="47"/>
      <c r="B176" s="47"/>
      <c r="C176" s="49"/>
      <c r="D176" s="47"/>
    </row>
    <row r="177" spans="1:4">
      <c r="A177" s="47"/>
      <c r="B177" s="47"/>
      <c r="C177" s="49"/>
      <c r="D177" s="47"/>
    </row>
    <row r="178" spans="1:4">
      <c r="A178" s="47"/>
      <c r="B178" s="47"/>
      <c r="C178" s="49"/>
      <c r="D178" s="47"/>
    </row>
    <row r="179" spans="1:4">
      <c r="A179" s="47"/>
      <c r="B179" s="47"/>
      <c r="C179" s="49"/>
      <c r="D179" s="47"/>
    </row>
    <row r="180" spans="1:4">
      <c r="A180" s="47"/>
      <c r="B180" s="47"/>
      <c r="C180" s="49"/>
      <c r="D180" s="47"/>
    </row>
    <row r="181" spans="1:4">
      <c r="A181" s="47"/>
      <c r="B181" s="47"/>
      <c r="C181" s="49"/>
      <c r="D181" s="47"/>
    </row>
    <row r="182" spans="1:4">
      <c r="A182" s="47"/>
      <c r="B182" s="47"/>
      <c r="C182" s="49"/>
      <c r="D182" s="47"/>
    </row>
    <row r="183" spans="1:4">
      <c r="A183" s="47"/>
      <c r="B183" s="47"/>
      <c r="C183" s="49"/>
      <c r="D183" s="47"/>
    </row>
    <row r="184" spans="1:4">
      <c r="A184" s="47"/>
      <c r="B184" s="47"/>
      <c r="C184" s="49"/>
      <c r="D184" s="47"/>
    </row>
    <row r="185" spans="1:4">
      <c r="A185" s="47"/>
      <c r="B185" s="47"/>
      <c r="C185" s="49"/>
      <c r="D185" s="47"/>
    </row>
    <row r="186" spans="1:4">
      <c r="A186" s="47"/>
      <c r="B186" s="47"/>
      <c r="C186" s="49"/>
      <c r="D186" s="47"/>
    </row>
    <row r="187" spans="1:4">
      <c r="A187" s="47"/>
      <c r="B187" s="47"/>
      <c r="C187" s="49"/>
      <c r="D187" s="47"/>
    </row>
    <row r="188" spans="1:4">
      <c r="A188" s="47"/>
      <c r="B188" s="47"/>
      <c r="C188" s="49"/>
      <c r="D188" s="47"/>
    </row>
    <row r="189" spans="1:4">
      <c r="A189" s="47"/>
      <c r="B189" s="47"/>
      <c r="C189" s="49"/>
      <c r="D189" s="47"/>
    </row>
    <row r="190" spans="1:4">
      <c r="A190" s="47"/>
      <c r="B190" s="47"/>
      <c r="C190" s="49"/>
      <c r="D190" s="47"/>
    </row>
    <row r="191" spans="1:4">
      <c r="A191" s="47"/>
      <c r="B191" s="47"/>
      <c r="C191" s="49"/>
      <c r="D191" s="47"/>
    </row>
    <row r="192" spans="1:4">
      <c r="A192" s="47"/>
      <c r="B192" s="47"/>
      <c r="C192" s="49"/>
      <c r="D192" s="47"/>
    </row>
    <row r="193" spans="1:4">
      <c r="A193" s="47"/>
      <c r="B193" s="47"/>
      <c r="C193" s="49"/>
      <c r="D193" s="47"/>
    </row>
    <row r="194" spans="1:4">
      <c r="A194" s="47"/>
      <c r="B194" s="47"/>
      <c r="C194" s="49"/>
      <c r="D194" s="47"/>
    </row>
    <row r="195" spans="1:4">
      <c r="A195" s="47"/>
      <c r="B195" s="47"/>
      <c r="C195" s="49"/>
      <c r="D195" s="47"/>
    </row>
    <row r="196" spans="1:4">
      <c r="A196" s="47"/>
      <c r="B196" s="47"/>
      <c r="C196" s="49"/>
      <c r="D196" s="47"/>
    </row>
    <row r="197" spans="1:4">
      <c r="A197" s="47"/>
      <c r="B197" s="47"/>
      <c r="C197" s="49"/>
      <c r="D197" s="47"/>
    </row>
    <row r="198" spans="1:4">
      <c r="A198" s="47"/>
      <c r="B198" s="47"/>
      <c r="C198" s="49"/>
      <c r="D198" s="47"/>
    </row>
    <row r="199" spans="1:4">
      <c r="A199" s="47"/>
      <c r="B199" s="47"/>
      <c r="C199" s="49"/>
      <c r="D199" s="47"/>
    </row>
    <row r="200" spans="1:4">
      <c r="A200" s="47"/>
      <c r="B200" s="47"/>
      <c r="C200" s="49"/>
      <c r="D200" s="47"/>
    </row>
    <row r="201" spans="1:4">
      <c r="A201" s="47"/>
      <c r="B201" s="47"/>
      <c r="C201" s="49"/>
      <c r="D201" s="47"/>
    </row>
    <row r="202" spans="1:4">
      <c r="A202" s="47"/>
      <c r="B202" s="47"/>
      <c r="C202" s="49"/>
      <c r="D202" s="47"/>
    </row>
    <row r="203" spans="1:4">
      <c r="A203" s="47"/>
      <c r="B203" s="47"/>
      <c r="C203" s="49"/>
      <c r="D203" s="47"/>
    </row>
    <row r="204" spans="1:4">
      <c r="A204" s="47"/>
      <c r="B204" s="47"/>
      <c r="C204" s="49"/>
      <c r="D204" s="47"/>
    </row>
    <row r="205" spans="1:4">
      <c r="A205" s="47"/>
      <c r="B205" s="47"/>
      <c r="C205" s="49"/>
      <c r="D205" s="47"/>
    </row>
    <row r="206" spans="1:4">
      <c r="A206" s="47"/>
      <c r="B206" s="47"/>
      <c r="C206" s="49"/>
      <c r="D206" s="47"/>
    </row>
    <row r="207" spans="1:4">
      <c r="A207" s="47"/>
      <c r="B207" s="47"/>
      <c r="C207" s="49"/>
      <c r="D207" s="47"/>
    </row>
    <row r="208" spans="1:4">
      <c r="A208" s="47"/>
      <c r="B208" s="47"/>
      <c r="C208" s="49"/>
      <c r="D208" s="47"/>
    </row>
    <row r="209" spans="1:4">
      <c r="A209" s="47"/>
      <c r="B209" s="47"/>
      <c r="C209" s="49"/>
      <c r="D209" s="47"/>
    </row>
    <row r="210" spans="1:4">
      <c r="A210" s="47"/>
      <c r="B210" s="47"/>
      <c r="C210" s="49"/>
      <c r="D210" s="47"/>
    </row>
    <row r="211" spans="1:4">
      <c r="A211" s="47"/>
      <c r="B211" s="47"/>
      <c r="C211" s="49"/>
      <c r="D211" s="47"/>
    </row>
    <row r="212" spans="1:4">
      <c r="A212" s="47"/>
      <c r="B212" s="47"/>
      <c r="C212" s="49"/>
      <c r="D212" s="47"/>
    </row>
    <row r="213" spans="1:4">
      <c r="A213" s="47"/>
      <c r="B213" s="47"/>
      <c r="C213" s="49"/>
      <c r="D213" s="47"/>
    </row>
    <row r="214" spans="1:4">
      <c r="A214" s="47"/>
      <c r="B214" s="47"/>
      <c r="C214" s="49"/>
      <c r="D214" s="47"/>
    </row>
    <row r="215" spans="1:4">
      <c r="A215" s="47"/>
      <c r="B215" s="47"/>
      <c r="C215" s="49"/>
      <c r="D215" s="47"/>
    </row>
    <row r="216" spans="1:4">
      <c r="A216" s="47"/>
      <c r="B216" s="47"/>
      <c r="C216" s="49"/>
      <c r="D216" s="47"/>
    </row>
    <row r="217" spans="1:4">
      <c r="A217" s="47"/>
      <c r="B217" s="47"/>
      <c r="C217" s="49"/>
      <c r="D217" s="47"/>
    </row>
    <row r="218" spans="1:4">
      <c r="A218" s="47"/>
      <c r="B218" s="47"/>
      <c r="C218" s="49"/>
      <c r="D218" s="47"/>
    </row>
    <row r="219" spans="1:4">
      <c r="A219" s="47"/>
      <c r="B219" s="47"/>
      <c r="C219" s="49"/>
      <c r="D219" s="47"/>
    </row>
    <row r="220" spans="1:4">
      <c r="A220" s="47"/>
      <c r="B220" s="47"/>
      <c r="C220" s="49"/>
      <c r="D220" s="47"/>
    </row>
    <row r="221" spans="1:4">
      <c r="A221" s="47"/>
      <c r="B221" s="47"/>
      <c r="C221" s="49"/>
      <c r="D221" s="47"/>
    </row>
    <row r="222" spans="1:4">
      <c r="A222" s="47"/>
      <c r="B222" s="47"/>
      <c r="C222" s="49"/>
      <c r="D222" s="47"/>
    </row>
    <row r="223" spans="1:4">
      <c r="A223" s="47"/>
      <c r="B223" s="47"/>
      <c r="C223" s="49"/>
      <c r="D223" s="47"/>
    </row>
    <row r="224" spans="1:4">
      <c r="A224" s="47"/>
      <c r="B224" s="47"/>
      <c r="C224" s="49"/>
      <c r="D224" s="47"/>
    </row>
    <row r="225" spans="1:4">
      <c r="A225" s="47"/>
      <c r="B225" s="47"/>
      <c r="C225" s="49"/>
      <c r="D225" s="47"/>
    </row>
    <row r="226" spans="1:4">
      <c r="A226" s="47"/>
      <c r="B226" s="47"/>
      <c r="C226" s="49"/>
      <c r="D226" s="47"/>
    </row>
    <row r="227" spans="1:4">
      <c r="A227" s="47"/>
      <c r="B227" s="47"/>
      <c r="C227" s="49"/>
      <c r="D227" s="47"/>
    </row>
    <row r="228" spans="1:4">
      <c r="A228" s="47"/>
      <c r="B228" s="47"/>
      <c r="C228" s="49"/>
      <c r="D228" s="47"/>
    </row>
    <row r="229" spans="1:4">
      <c r="A229" s="47"/>
      <c r="B229" s="47"/>
      <c r="C229" s="49"/>
      <c r="D229" s="47"/>
    </row>
    <row r="230" spans="1:4">
      <c r="A230" s="47"/>
      <c r="B230" s="47"/>
      <c r="C230" s="49"/>
      <c r="D230" s="47"/>
    </row>
    <row r="231" spans="1:4">
      <c r="A231" s="47"/>
      <c r="B231" s="47"/>
      <c r="C231" s="49"/>
      <c r="D231" s="47"/>
    </row>
    <row r="232" spans="1:4">
      <c r="A232" s="47"/>
      <c r="B232" s="47"/>
      <c r="C232" s="49"/>
      <c r="D232" s="47"/>
    </row>
    <row r="233" spans="1:4">
      <c r="A233" s="47"/>
      <c r="B233" s="47"/>
      <c r="C233" s="49"/>
      <c r="D233" s="47"/>
    </row>
    <row r="234" spans="1:4">
      <c r="A234" s="47"/>
      <c r="B234" s="47"/>
      <c r="C234" s="49"/>
      <c r="D234" s="47"/>
    </row>
    <row r="235" spans="1:4">
      <c r="A235" s="47"/>
      <c r="B235" s="47"/>
      <c r="C235" s="49"/>
      <c r="D235" s="47"/>
    </row>
    <row r="236" spans="1:4">
      <c r="A236" s="47"/>
      <c r="B236" s="47"/>
      <c r="C236" s="49"/>
      <c r="D236" s="47"/>
    </row>
    <row r="237" spans="1:4">
      <c r="A237" s="47"/>
      <c r="B237" s="47"/>
      <c r="C237" s="49"/>
      <c r="D237" s="47"/>
    </row>
    <row r="238" spans="1:4">
      <c r="A238" s="47"/>
      <c r="B238" s="47"/>
      <c r="C238" s="49"/>
      <c r="D238" s="47"/>
    </row>
    <row r="239" spans="1:4">
      <c r="A239" s="47"/>
      <c r="B239" s="47"/>
      <c r="C239" s="49"/>
      <c r="D239" s="47"/>
    </row>
    <row r="240" spans="1:4">
      <c r="A240" s="47"/>
      <c r="B240" s="47"/>
      <c r="C240" s="49"/>
      <c r="D240" s="47"/>
    </row>
    <row r="241" spans="1:4">
      <c r="A241" s="47"/>
      <c r="B241" s="47"/>
      <c r="C241" s="49"/>
      <c r="D241" s="47"/>
    </row>
    <row r="242" spans="1:4">
      <c r="A242" s="47"/>
      <c r="B242" s="47"/>
      <c r="C242" s="49"/>
      <c r="D242" s="47"/>
    </row>
    <row r="243" spans="1:4">
      <c r="A243" s="47"/>
      <c r="B243" s="47"/>
      <c r="C243" s="49"/>
      <c r="D243" s="47"/>
    </row>
    <row r="244" spans="1:4">
      <c r="A244" s="47"/>
      <c r="B244" s="47"/>
      <c r="C244" s="49"/>
      <c r="D244" s="47"/>
    </row>
    <row r="245" spans="1:4">
      <c r="A245" s="47"/>
      <c r="B245" s="47"/>
      <c r="C245" s="49"/>
      <c r="D245" s="47"/>
    </row>
    <row r="246" spans="1:4">
      <c r="A246" s="47"/>
      <c r="B246" s="47"/>
      <c r="C246" s="49"/>
      <c r="D246" s="47"/>
    </row>
    <row r="247" spans="1:4">
      <c r="A247" s="47"/>
      <c r="B247" s="47"/>
      <c r="C247" s="49"/>
      <c r="D247" s="47"/>
    </row>
    <row r="248" spans="1:4">
      <c r="A248" s="47"/>
      <c r="B248" s="47"/>
      <c r="C248" s="49"/>
      <c r="D248" s="47"/>
    </row>
    <row r="249" spans="1:4">
      <c r="A249" s="47"/>
      <c r="B249" s="47"/>
      <c r="C249" s="49"/>
      <c r="D249" s="47"/>
    </row>
    <row r="250" spans="1:4">
      <c r="A250" s="47"/>
      <c r="B250" s="47"/>
      <c r="C250" s="49"/>
      <c r="D250" s="47"/>
    </row>
    <row r="251" spans="1:4">
      <c r="A251" s="47"/>
      <c r="B251" s="47"/>
      <c r="C251" s="49"/>
      <c r="D251" s="47"/>
    </row>
    <row r="252" spans="1:4">
      <c r="A252" s="47"/>
      <c r="B252" s="47"/>
      <c r="C252" s="49"/>
      <c r="D252" s="47"/>
    </row>
    <row r="253" spans="1:4">
      <c r="A253" s="47"/>
      <c r="B253" s="47"/>
      <c r="C253" s="49"/>
      <c r="D253" s="47"/>
    </row>
    <row r="254" spans="1:4">
      <c r="A254" s="47"/>
      <c r="B254" s="47"/>
      <c r="C254" s="49"/>
      <c r="D254" s="47"/>
    </row>
    <row r="255" spans="1:4">
      <c r="A255" s="47"/>
      <c r="B255" s="47"/>
      <c r="C255" s="49"/>
      <c r="D255" s="47"/>
    </row>
    <row r="256" spans="1:4">
      <c r="A256" s="47"/>
      <c r="B256" s="47"/>
      <c r="C256" s="49"/>
      <c r="D256" s="47"/>
    </row>
    <row r="257" spans="1:4">
      <c r="A257" s="47"/>
      <c r="B257" s="47"/>
      <c r="C257" s="49"/>
      <c r="D257" s="47"/>
    </row>
    <row r="258" spans="1:4">
      <c r="A258" s="47"/>
      <c r="B258" s="47"/>
      <c r="C258" s="49"/>
      <c r="D258" s="47"/>
    </row>
    <row r="259" spans="1:4">
      <c r="A259" s="47"/>
      <c r="B259" s="47"/>
      <c r="C259" s="49"/>
      <c r="D259" s="47"/>
    </row>
    <row r="260" spans="1:4">
      <c r="A260" s="47"/>
      <c r="B260" s="47"/>
      <c r="C260" s="49"/>
      <c r="D260" s="47"/>
    </row>
    <row r="261" spans="1:4">
      <c r="A261" s="47"/>
      <c r="B261" s="47"/>
      <c r="C261" s="49"/>
      <c r="D261" s="47"/>
    </row>
    <row r="262" spans="1:4">
      <c r="A262" s="47"/>
      <c r="B262" s="47"/>
      <c r="C262" s="49"/>
      <c r="D262" s="47"/>
    </row>
    <row r="263" spans="1:4">
      <c r="A263" s="47"/>
      <c r="B263" s="47"/>
      <c r="C263" s="49"/>
      <c r="D263" s="47"/>
    </row>
    <row r="264" spans="1:4">
      <c r="A264" s="47"/>
      <c r="B264" s="47"/>
      <c r="C264" s="49"/>
      <c r="D264" s="47"/>
    </row>
    <row r="265" spans="1:4">
      <c r="A265" s="47"/>
      <c r="B265" s="47"/>
      <c r="C265" s="49"/>
      <c r="D265" s="47"/>
    </row>
    <row r="266" spans="1:4">
      <c r="A266" s="47"/>
      <c r="B266" s="47"/>
      <c r="C266" s="49"/>
      <c r="D266" s="47"/>
    </row>
    <row r="267" spans="1:4">
      <c r="A267" s="47"/>
      <c r="B267" s="47"/>
      <c r="C267" s="49"/>
      <c r="D267" s="47"/>
    </row>
    <row r="268" spans="1:4">
      <c r="A268" s="47"/>
      <c r="B268" s="47"/>
      <c r="C268" s="49"/>
      <c r="D268" s="47"/>
    </row>
    <row r="269" spans="1:4">
      <c r="A269" s="47"/>
      <c r="B269" s="47"/>
      <c r="C269" s="49"/>
      <c r="D269" s="47"/>
    </row>
    <row r="270" spans="1:4">
      <c r="A270" s="47"/>
      <c r="B270" s="47"/>
      <c r="C270" s="49"/>
      <c r="D270" s="47"/>
    </row>
    <row r="271" spans="1:4">
      <c r="A271" s="47"/>
      <c r="B271" s="47"/>
      <c r="C271" s="49"/>
      <c r="D271" s="47"/>
    </row>
    <row r="272" spans="1:4">
      <c r="A272" s="47"/>
      <c r="B272" s="47"/>
      <c r="C272" s="49"/>
      <c r="D272" s="47"/>
    </row>
    <row r="273" spans="1:4">
      <c r="A273" s="47"/>
      <c r="B273" s="47"/>
      <c r="C273" s="49"/>
      <c r="D273" s="47"/>
    </row>
    <row r="274" spans="1:4">
      <c r="A274" s="47"/>
      <c r="B274" s="47"/>
      <c r="C274" s="49"/>
      <c r="D274" s="47"/>
    </row>
    <row r="275" spans="1:4">
      <c r="A275" s="47"/>
      <c r="B275" s="47"/>
      <c r="C275" s="49"/>
      <c r="D275" s="47"/>
    </row>
    <row r="276" spans="1:4">
      <c r="A276" s="47"/>
      <c r="B276" s="47"/>
      <c r="C276" s="49"/>
      <c r="D276" s="47"/>
    </row>
    <row r="277" spans="1:4">
      <c r="A277" s="47"/>
      <c r="B277" s="47"/>
      <c r="C277" s="49"/>
      <c r="D277" s="47"/>
    </row>
    <row r="278" spans="1:4">
      <c r="A278" s="47"/>
      <c r="B278" s="47"/>
      <c r="C278" s="49"/>
      <c r="D278" s="47"/>
    </row>
    <row r="279" spans="1:4">
      <c r="A279" s="47"/>
      <c r="B279" s="47"/>
      <c r="C279" s="49"/>
      <c r="D279" s="47"/>
    </row>
    <row r="280" spans="1:4">
      <c r="A280" s="47"/>
      <c r="B280" s="47"/>
      <c r="C280" s="49"/>
      <c r="D280" s="47"/>
    </row>
    <row r="281" spans="1:4">
      <c r="A281" s="47"/>
      <c r="B281" s="47"/>
      <c r="C281" s="49"/>
      <c r="D281" s="47"/>
    </row>
    <row r="282" spans="1:4">
      <c r="A282" s="47"/>
      <c r="B282" s="47"/>
      <c r="C282" s="49"/>
      <c r="D282" s="47"/>
    </row>
    <row r="283" spans="1:4">
      <c r="A283" s="47"/>
      <c r="B283" s="47"/>
      <c r="C283" s="49"/>
      <c r="D283" s="47"/>
    </row>
    <row r="284" spans="1:4">
      <c r="A284" s="47"/>
      <c r="B284" s="47"/>
      <c r="C284" s="49"/>
      <c r="D284" s="47"/>
    </row>
    <row r="285" spans="1:4">
      <c r="A285" s="47"/>
      <c r="B285" s="47"/>
      <c r="C285" s="49"/>
      <c r="D285" s="47"/>
    </row>
    <row r="286" spans="1:4">
      <c r="A286" s="47"/>
      <c r="B286" s="47"/>
      <c r="C286" s="49"/>
      <c r="D286" s="47"/>
    </row>
    <row r="287" spans="1:4">
      <c r="A287" s="47"/>
      <c r="B287" s="47"/>
      <c r="C287" s="49"/>
      <c r="D287" s="47"/>
    </row>
    <row r="288" spans="1:4">
      <c r="A288" s="47"/>
      <c r="B288" s="47"/>
      <c r="C288" s="49"/>
      <c r="D288" s="47"/>
    </row>
    <row r="289" spans="1:4">
      <c r="A289" s="47"/>
      <c r="B289" s="47"/>
      <c r="C289" s="49"/>
      <c r="D289" s="47"/>
    </row>
    <row r="290" spans="1:4">
      <c r="A290" s="47"/>
      <c r="B290" s="47"/>
      <c r="C290" s="49"/>
      <c r="D290" s="47"/>
    </row>
    <row r="291" spans="1:4">
      <c r="A291" s="47"/>
      <c r="B291" s="47"/>
      <c r="C291" s="49"/>
      <c r="D291" s="47"/>
    </row>
    <row r="292" spans="1:4">
      <c r="A292" s="47"/>
      <c r="B292" s="47"/>
      <c r="C292" s="49"/>
      <c r="D292" s="47"/>
    </row>
    <row r="293" spans="1:4">
      <c r="A293" s="47"/>
      <c r="B293" s="47"/>
      <c r="C293" s="49"/>
      <c r="D293" s="47"/>
    </row>
    <row r="294" spans="1:4">
      <c r="A294" s="47"/>
      <c r="B294" s="47"/>
      <c r="C294" s="49"/>
      <c r="D294" s="47"/>
    </row>
    <row r="295" spans="1:4">
      <c r="A295" s="47"/>
      <c r="B295" s="47"/>
      <c r="C295" s="49"/>
      <c r="D295" s="47"/>
    </row>
    <row r="296" spans="1:4">
      <c r="A296" s="47"/>
      <c r="B296" s="47"/>
      <c r="C296" s="49"/>
      <c r="D296" s="47"/>
    </row>
    <row r="297" spans="1:4">
      <c r="A297" s="47"/>
      <c r="B297" s="47"/>
      <c r="C297" s="49"/>
      <c r="D297" s="47"/>
    </row>
    <row r="298" spans="1:4">
      <c r="A298" s="47"/>
      <c r="B298" s="47"/>
      <c r="C298" s="49"/>
      <c r="D298" s="47"/>
    </row>
    <row r="299" spans="1:4">
      <c r="A299" s="47"/>
      <c r="B299" s="47"/>
      <c r="C299" s="49"/>
      <c r="D299" s="47"/>
    </row>
    <row r="300" spans="1:4">
      <c r="A300" s="47"/>
      <c r="B300" s="47"/>
      <c r="C300" s="49"/>
      <c r="D300" s="47"/>
    </row>
    <row r="301" spans="1:4">
      <c r="A301" s="47"/>
      <c r="B301" s="47"/>
      <c r="C301" s="49"/>
      <c r="D301" s="47"/>
    </row>
    <row r="302" spans="1:4">
      <c r="A302" s="47"/>
      <c r="B302" s="47"/>
      <c r="C302" s="49"/>
      <c r="D302" s="47"/>
    </row>
    <row r="303" spans="1:4">
      <c r="A303" s="47"/>
      <c r="B303" s="47"/>
      <c r="C303" s="49"/>
      <c r="D303" s="47"/>
    </row>
    <row r="304" spans="1:4">
      <c r="A304" s="47"/>
      <c r="B304" s="47"/>
      <c r="C304" s="49"/>
      <c r="D304" s="47"/>
    </row>
    <row r="305" spans="1:4">
      <c r="A305" s="47"/>
      <c r="B305" s="47"/>
      <c r="C305" s="49"/>
      <c r="D305" s="47"/>
    </row>
    <row r="306" spans="1:4">
      <c r="A306" s="47"/>
      <c r="B306" s="47"/>
      <c r="C306" s="49"/>
      <c r="D306" s="47"/>
    </row>
    <row r="307" spans="1:4">
      <c r="A307" s="47"/>
      <c r="B307" s="47"/>
      <c r="C307" s="49"/>
      <c r="D307" s="47"/>
    </row>
    <row r="308" spans="1:4">
      <c r="A308" s="47"/>
      <c r="B308" s="47"/>
      <c r="C308" s="49"/>
      <c r="D308" s="47"/>
    </row>
    <row r="309" spans="1:4">
      <c r="A309" s="47"/>
      <c r="B309" s="47"/>
      <c r="C309" s="49"/>
      <c r="D309" s="47"/>
    </row>
    <row r="310" spans="1:4">
      <c r="A310" s="47"/>
      <c r="B310" s="47"/>
      <c r="C310" s="49"/>
      <c r="D310" s="47"/>
    </row>
    <row r="311" spans="1:4">
      <c r="A311" s="47"/>
      <c r="B311" s="47"/>
      <c r="C311" s="49"/>
      <c r="D311" s="47"/>
    </row>
    <row r="312" spans="1:4">
      <c r="A312" s="47"/>
      <c r="B312" s="47"/>
      <c r="C312" s="49"/>
      <c r="D312" s="47"/>
    </row>
    <row r="313" spans="1:4">
      <c r="A313" s="47"/>
      <c r="B313" s="47"/>
      <c r="C313" s="49"/>
      <c r="D313" s="47"/>
    </row>
    <row r="314" spans="1:4">
      <c r="A314" s="47"/>
      <c r="B314" s="47"/>
      <c r="C314" s="49"/>
      <c r="D314" s="47"/>
    </row>
    <row r="315" spans="1:4">
      <c r="A315" s="47"/>
      <c r="B315" s="47"/>
      <c r="C315" s="49"/>
      <c r="D315" s="47"/>
    </row>
    <row r="316" spans="1:4">
      <c r="A316" s="47"/>
      <c r="B316" s="47"/>
      <c r="C316" s="49"/>
      <c r="D316" s="47"/>
    </row>
    <row r="317" spans="1:4">
      <c r="A317" s="47"/>
      <c r="B317" s="47"/>
      <c r="C317" s="49"/>
      <c r="D317" s="47"/>
    </row>
    <row r="318" spans="1:4">
      <c r="A318" s="47"/>
      <c r="B318" s="47"/>
      <c r="C318" s="49"/>
      <c r="D318" s="47"/>
    </row>
    <row r="319" spans="1:4">
      <c r="A319" s="47"/>
      <c r="B319" s="47"/>
      <c r="C319" s="49"/>
      <c r="D319" s="47"/>
    </row>
    <row r="320" spans="1:4">
      <c r="A320" s="47"/>
      <c r="B320" s="47"/>
      <c r="C320" s="49"/>
      <c r="D320" s="47"/>
    </row>
    <row r="321" spans="1:4">
      <c r="A321" s="47"/>
      <c r="B321" s="47"/>
      <c r="C321" s="49"/>
      <c r="D321" s="47"/>
    </row>
    <row r="322" spans="1:4">
      <c r="A322" s="47"/>
      <c r="B322" s="47"/>
      <c r="C322" s="49"/>
      <c r="D322" s="47"/>
    </row>
    <row r="323" spans="1:4">
      <c r="A323" s="47"/>
      <c r="B323" s="47"/>
      <c r="C323" s="49"/>
      <c r="D323" s="47"/>
    </row>
    <row r="324" spans="1:4">
      <c r="A324" s="47"/>
      <c r="B324" s="47"/>
      <c r="C324" s="49"/>
      <c r="D324" s="47"/>
    </row>
    <row r="325" spans="1:4">
      <c r="A325" s="47"/>
      <c r="B325" s="47"/>
      <c r="C325" s="49"/>
      <c r="D325" s="47"/>
    </row>
    <row r="326" spans="1:4">
      <c r="A326" s="47"/>
      <c r="B326" s="47"/>
      <c r="C326" s="49"/>
      <c r="D326" s="47"/>
    </row>
    <row r="327" spans="1:4">
      <c r="A327" s="47"/>
      <c r="B327" s="47"/>
      <c r="C327" s="49"/>
      <c r="D327" s="47"/>
    </row>
    <row r="328" spans="1:4">
      <c r="A328" s="47"/>
      <c r="B328" s="47"/>
      <c r="C328" s="49"/>
      <c r="D328" s="47"/>
    </row>
    <row r="329" spans="1:4">
      <c r="A329" s="47"/>
      <c r="B329" s="47"/>
      <c r="C329" s="49"/>
      <c r="D329" s="47"/>
    </row>
    <row r="330" spans="1:4">
      <c r="A330" s="47"/>
      <c r="B330" s="47"/>
      <c r="C330" s="49"/>
      <c r="D330" s="47"/>
    </row>
    <row r="331" spans="1:4">
      <c r="A331" s="47"/>
      <c r="B331" s="47"/>
      <c r="C331" s="49"/>
      <c r="D331" s="47"/>
    </row>
    <row r="332" spans="1:4">
      <c r="A332" s="47"/>
      <c r="B332" s="47"/>
      <c r="C332" s="49"/>
      <c r="D332" s="47"/>
    </row>
    <row r="333" spans="1:4">
      <c r="A333" s="47"/>
      <c r="B333" s="47"/>
      <c r="C333" s="49"/>
      <c r="D333" s="47"/>
    </row>
    <row r="334" spans="1:4">
      <c r="A334" s="47"/>
      <c r="B334" s="47"/>
      <c r="C334" s="49"/>
      <c r="D334" s="47"/>
    </row>
    <row r="335" spans="1:4">
      <c r="A335" s="47"/>
      <c r="B335" s="47"/>
      <c r="C335" s="49"/>
      <c r="D335" s="47"/>
    </row>
    <row r="336" spans="1:4">
      <c r="A336" s="47"/>
      <c r="B336" s="47"/>
      <c r="C336" s="49"/>
      <c r="D336" s="47"/>
    </row>
    <row r="337" spans="1:4">
      <c r="A337" s="47"/>
      <c r="B337" s="47"/>
      <c r="C337" s="49"/>
      <c r="D337" s="47"/>
    </row>
    <row r="338" spans="1:4">
      <c r="A338" s="47"/>
      <c r="B338" s="47"/>
      <c r="C338" s="49"/>
      <c r="D338" s="47"/>
    </row>
    <row r="339" spans="1:4">
      <c r="A339" s="47"/>
      <c r="B339" s="47"/>
      <c r="C339" s="49"/>
      <c r="D339" s="47"/>
    </row>
    <row r="340" spans="1:4">
      <c r="A340" s="47"/>
      <c r="B340" s="47"/>
      <c r="C340" s="49"/>
      <c r="D340" s="47"/>
    </row>
    <row r="341" spans="1:4">
      <c r="A341" s="47"/>
      <c r="B341" s="47"/>
      <c r="C341" s="49"/>
      <c r="D341" s="47"/>
    </row>
    <row r="342" spans="1:4">
      <c r="A342" s="47"/>
      <c r="B342" s="47"/>
      <c r="C342" s="49"/>
      <c r="D342" s="47"/>
    </row>
    <row r="343" spans="1:4">
      <c r="A343" s="47"/>
      <c r="B343" s="47"/>
      <c r="C343" s="49"/>
      <c r="D343" s="47"/>
    </row>
    <row r="344" spans="1:4">
      <c r="A344" s="47"/>
      <c r="B344" s="47"/>
      <c r="C344" s="49"/>
      <c r="D344" s="47"/>
    </row>
    <row r="345" spans="1:4">
      <c r="A345" s="47"/>
      <c r="B345" s="47"/>
      <c r="C345" s="49"/>
      <c r="D345" s="47"/>
    </row>
    <row r="346" spans="1:4">
      <c r="A346" s="47"/>
      <c r="B346" s="47"/>
      <c r="C346" s="49"/>
      <c r="D346" s="47"/>
    </row>
    <row r="347" spans="1:4">
      <c r="A347" s="47"/>
      <c r="B347" s="47"/>
      <c r="C347" s="49"/>
      <c r="D347" s="47"/>
    </row>
    <row r="348" spans="1:4">
      <c r="A348" s="47"/>
      <c r="B348" s="47"/>
      <c r="C348" s="49"/>
      <c r="D348" s="47"/>
    </row>
    <row r="349" spans="1:4">
      <c r="A349" s="47"/>
      <c r="B349" s="47"/>
      <c r="C349" s="49"/>
      <c r="D349" s="47"/>
    </row>
    <row r="350" spans="1:4">
      <c r="A350" s="47"/>
      <c r="B350" s="47"/>
      <c r="C350" s="49"/>
      <c r="D350" s="47"/>
    </row>
    <row r="351" spans="1:4">
      <c r="A351" s="47"/>
      <c r="B351" s="47"/>
      <c r="C351" s="49"/>
      <c r="D351" s="47"/>
    </row>
    <row r="352" spans="1:4">
      <c r="A352" s="47"/>
      <c r="B352" s="47"/>
      <c r="C352" s="49"/>
      <c r="D352" s="47"/>
    </row>
    <row r="353" spans="1:4">
      <c r="A353" s="47"/>
      <c r="B353" s="47"/>
      <c r="C353" s="49"/>
      <c r="D353" s="47"/>
    </row>
    <row r="354" spans="1:4">
      <c r="A354" s="47"/>
      <c r="B354" s="47"/>
      <c r="C354" s="49"/>
      <c r="D354" s="47"/>
    </row>
    <row r="355" spans="1:4">
      <c r="A355" s="47"/>
      <c r="B355" s="47"/>
      <c r="C355" s="49"/>
      <c r="D355" s="47"/>
    </row>
    <row r="356" spans="1:4">
      <c r="A356" s="47"/>
      <c r="B356" s="47"/>
      <c r="C356" s="49"/>
      <c r="D356" s="47"/>
    </row>
    <row r="357" spans="1:4">
      <c r="A357" s="47"/>
      <c r="B357" s="47"/>
      <c r="C357" s="49"/>
      <c r="D357" s="47"/>
    </row>
    <row r="358" spans="1:4">
      <c r="A358" s="47"/>
      <c r="B358" s="47"/>
      <c r="C358" s="49"/>
      <c r="D358" s="47"/>
    </row>
    <row r="359" spans="1:4">
      <c r="A359" s="47"/>
      <c r="B359" s="47"/>
      <c r="C359" s="49"/>
      <c r="D359" s="47"/>
    </row>
    <row r="360" spans="1:4">
      <c r="A360" s="47"/>
      <c r="B360" s="47"/>
      <c r="C360" s="49"/>
      <c r="D360" s="47"/>
    </row>
  </sheetData>
  <mergeCells count="34">
    <mergeCell ref="A77:A78"/>
    <mergeCell ref="B77:B78"/>
    <mergeCell ref="A60:A61"/>
    <mergeCell ref="B60:B61"/>
    <mergeCell ref="A66:D66"/>
    <mergeCell ref="A70:A72"/>
    <mergeCell ref="B70:B72"/>
    <mergeCell ref="A39:A40"/>
    <mergeCell ref="B39:B40"/>
    <mergeCell ref="A54:A56"/>
    <mergeCell ref="B54:B56"/>
    <mergeCell ref="A50:A51"/>
    <mergeCell ref="B50:B51"/>
    <mergeCell ref="A1:D1"/>
    <mergeCell ref="A2:A4"/>
    <mergeCell ref="B2:B4"/>
    <mergeCell ref="C2:C4"/>
    <mergeCell ref="D2:D4"/>
    <mergeCell ref="A7:A13"/>
    <mergeCell ref="B7:B13"/>
    <mergeCell ref="A59:D59"/>
    <mergeCell ref="B37:B38"/>
    <mergeCell ref="A37:A38"/>
    <mergeCell ref="A19:A20"/>
    <mergeCell ref="B19:B20"/>
    <mergeCell ref="A21:A22"/>
    <mergeCell ref="B21:B22"/>
    <mergeCell ref="A25:D25"/>
    <mergeCell ref="A27:A28"/>
    <mergeCell ref="B27:B28"/>
    <mergeCell ref="A41:A42"/>
    <mergeCell ref="B41:B42"/>
    <mergeCell ref="A33:A34"/>
    <mergeCell ref="B33:B34"/>
  </mergeCells>
  <pageMargins left="0.70866141732283472" right="0.70866141732283472" top="0.74803149606299213" bottom="0.74803149606299213" header="0.31496062992125984" footer="0.31496062992125984"/>
  <pageSetup paperSize="9" scale="8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workbookViewId="0">
      <selection activeCell="D12" sqref="D12"/>
    </sheetView>
  </sheetViews>
  <sheetFormatPr defaultRowHeight="13.75"/>
  <cols>
    <col min="1" max="1" width="4.7109375" customWidth="1"/>
    <col min="2" max="2" width="21.85546875" style="69" customWidth="1"/>
    <col min="3" max="3" width="28.2109375" customWidth="1"/>
    <col min="4" max="4" width="31.2109375" style="69" customWidth="1"/>
    <col min="5" max="5" width="23.85546875" style="69" customWidth="1"/>
    <col min="257" max="257" width="4.7109375" customWidth="1"/>
    <col min="258" max="258" width="21.85546875" customWidth="1"/>
    <col min="259" max="259" width="28.2109375" customWidth="1"/>
    <col min="260" max="260" width="31.2109375" customWidth="1"/>
    <col min="261" max="261" width="23.85546875" customWidth="1"/>
    <col min="513" max="513" width="4.7109375" customWidth="1"/>
    <col min="514" max="514" width="21.85546875" customWidth="1"/>
    <col min="515" max="515" width="28.2109375" customWidth="1"/>
    <col min="516" max="516" width="31.2109375" customWidth="1"/>
    <col min="517" max="517" width="23.85546875" customWidth="1"/>
    <col min="769" max="769" width="4.7109375" customWidth="1"/>
    <col min="770" max="770" width="21.85546875" customWidth="1"/>
    <col min="771" max="771" width="28.2109375" customWidth="1"/>
    <col min="772" max="772" width="31.2109375" customWidth="1"/>
    <col min="773" max="773" width="23.85546875" customWidth="1"/>
    <col min="1025" max="1025" width="4.7109375" customWidth="1"/>
    <col min="1026" max="1026" width="21.85546875" customWidth="1"/>
    <col min="1027" max="1027" width="28.2109375" customWidth="1"/>
    <col min="1028" max="1028" width="31.2109375" customWidth="1"/>
    <col min="1029" max="1029" width="23.85546875" customWidth="1"/>
    <col min="1281" max="1281" width="4.7109375" customWidth="1"/>
    <col min="1282" max="1282" width="21.85546875" customWidth="1"/>
    <col min="1283" max="1283" width="28.2109375" customWidth="1"/>
    <col min="1284" max="1284" width="31.2109375" customWidth="1"/>
    <col min="1285" max="1285" width="23.85546875" customWidth="1"/>
    <col min="1537" max="1537" width="4.7109375" customWidth="1"/>
    <col min="1538" max="1538" width="21.85546875" customWidth="1"/>
    <col min="1539" max="1539" width="28.2109375" customWidth="1"/>
    <col min="1540" max="1540" width="31.2109375" customWidth="1"/>
    <col min="1541" max="1541" width="23.85546875" customWidth="1"/>
    <col min="1793" max="1793" width="4.7109375" customWidth="1"/>
    <col min="1794" max="1794" width="21.85546875" customWidth="1"/>
    <col min="1795" max="1795" width="28.2109375" customWidth="1"/>
    <col min="1796" max="1796" width="31.2109375" customWidth="1"/>
    <col min="1797" max="1797" width="23.85546875" customWidth="1"/>
    <col min="2049" max="2049" width="4.7109375" customWidth="1"/>
    <col min="2050" max="2050" width="21.85546875" customWidth="1"/>
    <col min="2051" max="2051" width="28.2109375" customWidth="1"/>
    <col min="2052" max="2052" width="31.2109375" customWidth="1"/>
    <col min="2053" max="2053" width="23.85546875" customWidth="1"/>
    <col min="2305" max="2305" width="4.7109375" customWidth="1"/>
    <col min="2306" max="2306" width="21.85546875" customWidth="1"/>
    <col min="2307" max="2307" width="28.2109375" customWidth="1"/>
    <col min="2308" max="2308" width="31.2109375" customWidth="1"/>
    <col min="2309" max="2309" width="23.85546875" customWidth="1"/>
    <col min="2561" max="2561" width="4.7109375" customWidth="1"/>
    <col min="2562" max="2562" width="21.85546875" customWidth="1"/>
    <col min="2563" max="2563" width="28.2109375" customWidth="1"/>
    <col min="2564" max="2564" width="31.2109375" customWidth="1"/>
    <col min="2565" max="2565" width="23.85546875" customWidth="1"/>
    <col min="2817" max="2817" width="4.7109375" customWidth="1"/>
    <col min="2818" max="2818" width="21.85546875" customWidth="1"/>
    <col min="2819" max="2819" width="28.2109375" customWidth="1"/>
    <col min="2820" max="2820" width="31.2109375" customWidth="1"/>
    <col min="2821" max="2821" width="23.85546875" customWidth="1"/>
    <col min="3073" max="3073" width="4.7109375" customWidth="1"/>
    <col min="3074" max="3074" width="21.85546875" customWidth="1"/>
    <col min="3075" max="3075" width="28.2109375" customWidth="1"/>
    <col min="3076" max="3076" width="31.2109375" customWidth="1"/>
    <col min="3077" max="3077" width="23.85546875" customWidth="1"/>
    <col min="3329" max="3329" width="4.7109375" customWidth="1"/>
    <col min="3330" max="3330" width="21.85546875" customWidth="1"/>
    <col min="3331" max="3331" width="28.2109375" customWidth="1"/>
    <col min="3332" max="3332" width="31.2109375" customWidth="1"/>
    <col min="3333" max="3333" width="23.85546875" customWidth="1"/>
    <col min="3585" max="3585" width="4.7109375" customWidth="1"/>
    <col min="3586" max="3586" width="21.85546875" customWidth="1"/>
    <col min="3587" max="3587" width="28.2109375" customWidth="1"/>
    <col min="3588" max="3588" width="31.2109375" customWidth="1"/>
    <col min="3589" max="3589" width="23.85546875" customWidth="1"/>
    <col min="3841" max="3841" width="4.7109375" customWidth="1"/>
    <col min="3842" max="3842" width="21.85546875" customWidth="1"/>
    <col min="3843" max="3843" width="28.2109375" customWidth="1"/>
    <col min="3844" max="3844" width="31.2109375" customWidth="1"/>
    <col min="3845" max="3845" width="23.85546875" customWidth="1"/>
    <col min="4097" max="4097" width="4.7109375" customWidth="1"/>
    <col min="4098" max="4098" width="21.85546875" customWidth="1"/>
    <col min="4099" max="4099" width="28.2109375" customWidth="1"/>
    <col min="4100" max="4100" width="31.2109375" customWidth="1"/>
    <col min="4101" max="4101" width="23.85546875" customWidth="1"/>
    <col min="4353" max="4353" width="4.7109375" customWidth="1"/>
    <col min="4354" max="4354" width="21.85546875" customWidth="1"/>
    <col min="4355" max="4355" width="28.2109375" customWidth="1"/>
    <col min="4356" max="4356" width="31.2109375" customWidth="1"/>
    <col min="4357" max="4357" width="23.85546875" customWidth="1"/>
    <col min="4609" max="4609" width="4.7109375" customWidth="1"/>
    <col min="4610" max="4610" width="21.85546875" customWidth="1"/>
    <col min="4611" max="4611" width="28.2109375" customWidth="1"/>
    <col min="4612" max="4612" width="31.2109375" customWidth="1"/>
    <col min="4613" max="4613" width="23.85546875" customWidth="1"/>
    <col min="4865" max="4865" width="4.7109375" customWidth="1"/>
    <col min="4866" max="4866" width="21.85546875" customWidth="1"/>
    <col min="4867" max="4867" width="28.2109375" customWidth="1"/>
    <col min="4868" max="4868" width="31.2109375" customWidth="1"/>
    <col min="4869" max="4869" width="23.85546875" customWidth="1"/>
    <col min="5121" max="5121" width="4.7109375" customWidth="1"/>
    <col min="5122" max="5122" width="21.85546875" customWidth="1"/>
    <col min="5123" max="5123" width="28.2109375" customWidth="1"/>
    <col min="5124" max="5124" width="31.2109375" customWidth="1"/>
    <col min="5125" max="5125" width="23.85546875" customWidth="1"/>
    <col min="5377" max="5377" width="4.7109375" customWidth="1"/>
    <col min="5378" max="5378" width="21.85546875" customWidth="1"/>
    <col min="5379" max="5379" width="28.2109375" customWidth="1"/>
    <col min="5380" max="5380" width="31.2109375" customWidth="1"/>
    <col min="5381" max="5381" width="23.85546875" customWidth="1"/>
    <col min="5633" max="5633" width="4.7109375" customWidth="1"/>
    <col min="5634" max="5634" width="21.85546875" customWidth="1"/>
    <col min="5635" max="5635" width="28.2109375" customWidth="1"/>
    <col min="5636" max="5636" width="31.2109375" customWidth="1"/>
    <col min="5637" max="5637" width="23.85546875" customWidth="1"/>
    <col min="5889" max="5889" width="4.7109375" customWidth="1"/>
    <col min="5890" max="5890" width="21.85546875" customWidth="1"/>
    <col min="5891" max="5891" width="28.2109375" customWidth="1"/>
    <col min="5892" max="5892" width="31.2109375" customWidth="1"/>
    <col min="5893" max="5893" width="23.85546875" customWidth="1"/>
    <col min="6145" max="6145" width="4.7109375" customWidth="1"/>
    <col min="6146" max="6146" width="21.85546875" customWidth="1"/>
    <col min="6147" max="6147" width="28.2109375" customWidth="1"/>
    <col min="6148" max="6148" width="31.2109375" customWidth="1"/>
    <col min="6149" max="6149" width="23.85546875" customWidth="1"/>
    <col min="6401" max="6401" width="4.7109375" customWidth="1"/>
    <col min="6402" max="6402" width="21.85546875" customWidth="1"/>
    <col min="6403" max="6403" width="28.2109375" customWidth="1"/>
    <col min="6404" max="6404" width="31.2109375" customWidth="1"/>
    <col min="6405" max="6405" width="23.85546875" customWidth="1"/>
    <col min="6657" max="6657" width="4.7109375" customWidth="1"/>
    <col min="6658" max="6658" width="21.85546875" customWidth="1"/>
    <col min="6659" max="6659" width="28.2109375" customWidth="1"/>
    <col min="6660" max="6660" width="31.2109375" customWidth="1"/>
    <col min="6661" max="6661" width="23.85546875" customWidth="1"/>
    <col min="6913" max="6913" width="4.7109375" customWidth="1"/>
    <col min="6914" max="6914" width="21.85546875" customWidth="1"/>
    <col min="6915" max="6915" width="28.2109375" customWidth="1"/>
    <col min="6916" max="6916" width="31.2109375" customWidth="1"/>
    <col min="6917" max="6917" width="23.85546875" customWidth="1"/>
    <col min="7169" max="7169" width="4.7109375" customWidth="1"/>
    <col min="7170" max="7170" width="21.85546875" customWidth="1"/>
    <col min="7171" max="7171" width="28.2109375" customWidth="1"/>
    <col min="7172" max="7172" width="31.2109375" customWidth="1"/>
    <col min="7173" max="7173" width="23.85546875" customWidth="1"/>
    <col min="7425" max="7425" width="4.7109375" customWidth="1"/>
    <col min="7426" max="7426" width="21.85546875" customWidth="1"/>
    <col min="7427" max="7427" width="28.2109375" customWidth="1"/>
    <col min="7428" max="7428" width="31.2109375" customWidth="1"/>
    <col min="7429" max="7429" width="23.85546875" customWidth="1"/>
    <col min="7681" max="7681" width="4.7109375" customWidth="1"/>
    <col min="7682" max="7682" width="21.85546875" customWidth="1"/>
    <col min="7683" max="7683" width="28.2109375" customWidth="1"/>
    <col min="7684" max="7684" width="31.2109375" customWidth="1"/>
    <col min="7685" max="7685" width="23.85546875" customWidth="1"/>
    <col min="7937" max="7937" width="4.7109375" customWidth="1"/>
    <col min="7938" max="7938" width="21.85546875" customWidth="1"/>
    <col min="7939" max="7939" width="28.2109375" customWidth="1"/>
    <col min="7940" max="7940" width="31.2109375" customWidth="1"/>
    <col min="7941" max="7941" width="23.85546875" customWidth="1"/>
    <col min="8193" max="8193" width="4.7109375" customWidth="1"/>
    <col min="8194" max="8194" width="21.85546875" customWidth="1"/>
    <col min="8195" max="8195" width="28.2109375" customWidth="1"/>
    <col min="8196" max="8196" width="31.2109375" customWidth="1"/>
    <col min="8197" max="8197" width="23.85546875" customWidth="1"/>
    <col min="8449" max="8449" width="4.7109375" customWidth="1"/>
    <col min="8450" max="8450" width="21.85546875" customWidth="1"/>
    <col min="8451" max="8451" width="28.2109375" customWidth="1"/>
    <col min="8452" max="8452" width="31.2109375" customWidth="1"/>
    <col min="8453" max="8453" width="23.85546875" customWidth="1"/>
    <col min="8705" max="8705" width="4.7109375" customWidth="1"/>
    <col min="8706" max="8706" width="21.85546875" customWidth="1"/>
    <col min="8707" max="8707" width="28.2109375" customWidth="1"/>
    <col min="8708" max="8708" width="31.2109375" customWidth="1"/>
    <col min="8709" max="8709" width="23.85546875" customWidth="1"/>
    <col min="8961" max="8961" width="4.7109375" customWidth="1"/>
    <col min="8962" max="8962" width="21.85546875" customWidth="1"/>
    <col min="8963" max="8963" width="28.2109375" customWidth="1"/>
    <col min="8964" max="8964" width="31.2109375" customWidth="1"/>
    <col min="8965" max="8965" width="23.85546875" customWidth="1"/>
    <col min="9217" max="9217" width="4.7109375" customWidth="1"/>
    <col min="9218" max="9218" width="21.85546875" customWidth="1"/>
    <col min="9219" max="9219" width="28.2109375" customWidth="1"/>
    <col min="9220" max="9220" width="31.2109375" customWidth="1"/>
    <col min="9221" max="9221" width="23.85546875" customWidth="1"/>
    <col min="9473" max="9473" width="4.7109375" customWidth="1"/>
    <col min="9474" max="9474" width="21.85546875" customWidth="1"/>
    <col min="9475" max="9475" width="28.2109375" customWidth="1"/>
    <col min="9476" max="9476" width="31.2109375" customWidth="1"/>
    <col min="9477" max="9477" width="23.85546875" customWidth="1"/>
    <col min="9729" max="9729" width="4.7109375" customWidth="1"/>
    <col min="9730" max="9730" width="21.85546875" customWidth="1"/>
    <col min="9731" max="9731" width="28.2109375" customWidth="1"/>
    <col min="9732" max="9732" width="31.2109375" customWidth="1"/>
    <col min="9733" max="9733" width="23.85546875" customWidth="1"/>
    <col min="9985" max="9985" width="4.7109375" customWidth="1"/>
    <col min="9986" max="9986" width="21.85546875" customWidth="1"/>
    <col min="9987" max="9987" width="28.2109375" customWidth="1"/>
    <col min="9988" max="9988" width="31.2109375" customWidth="1"/>
    <col min="9989" max="9989" width="23.85546875" customWidth="1"/>
    <col min="10241" max="10241" width="4.7109375" customWidth="1"/>
    <col min="10242" max="10242" width="21.85546875" customWidth="1"/>
    <col min="10243" max="10243" width="28.2109375" customWidth="1"/>
    <col min="10244" max="10244" width="31.2109375" customWidth="1"/>
    <col min="10245" max="10245" width="23.85546875" customWidth="1"/>
    <col min="10497" max="10497" width="4.7109375" customWidth="1"/>
    <col min="10498" max="10498" width="21.85546875" customWidth="1"/>
    <col min="10499" max="10499" width="28.2109375" customWidth="1"/>
    <col min="10500" max="10500" width="31.2109375" customWidth="1"/>
    <col min="10501" max="10501" width="23.85546875" customWidth="1"/>
    <col min="10753" max="10753" width="4.7109375" customWidth="1"/>
    <col min="10754" max="10754" width="21.85546875" customWidth="1"/>
    <col min="10755" max="10755" width="28.2109375" customWidth="1"/>
    <col min="10756" max="10756" width="31.2109375" customWidth="1"/>
    <col min="10757" max="10757" width="23.85546875" customWidth="1"/>
    <col min="11009" max="11009" width="4.7109375" customWidth="1"/>
    <col min="11010" max="11010" width="21.85546875" customWidth="1"/>
    <col min="11011" max="11011" width="28.2109375" customWidth="1"/>
    <col min="11012" max="11012" width="31.2109375" customWidth="1"/>
    <col min="11013" max="11013" width="23.85546875" customWidth="1"/>
    <col min="11265" max="11265" width="4.7109375" customWidth="1"/>
    <col min="11266" max="11266" width="21.85546875" customWidth="1"/>
    <col min="11267" max="11267" width="28.2109375" customWidth="1"/>
    <col min="11268" max="11268" width="31.2109375" customWidth="1"/>
    <col min="11269" max="11269" width="23.85546875" customWidth="1"/>
    <col min="11521" max="11521" width="4.7109375" customWidth="1"/>
    <col min="11522" max="11522" width="21.85546875" customWidth="1"/>
    <col min="11523" max="11523" width="28.2109375" customWidth="1"/>
    <col min="11524" max="11524" width="31.2109375" customWidth="1"/>
    <col min="11525" max="11525" width="23.85546875" customWidth="1"/>
    <col min="11777" max="11777" width="4.7109375" customWidth="1"/>
    <col min="11778" max="11778" width="21.85546875" customWidth="1"/>
    <col min="11779" max="11779" width="28.2109375" customWidth="1"/>
    <col min="11780" max="11780" width="31.2109375" customWidth="1"/>
    <col min="11781" max="11781" width="23.85546875" customWidth="1"/>
    <col min="12033" max="12033" width="4.7109375" customWidth="1"/>
    <col min="12034" max="12034" width="21.85546875" customWidth="1"/>
    <col min="12035" max="12035" width="28.2109375" customWidth="1"/>
    <col min="12036" max="12036" width="31.2109375" customWidth="1"/>
    <col min="12037" max="12037" width="23.85546875" customWidth="1"/>
    <col min="12289" max="12289" width="4.7109375" customWidth="1"/>
    <col min="12290" max="12290" width="21.85546875" customWidth="1"/>
    <col min="12291" max="12291" width="28.2109375" customWidth="1"/>
    <col min="12292" max="12292" width="31.2109375" customWidth="1"/>
    <col min="12293" max="12293" width="23.85546875" customWidth="1"/>
    <col min="12545" max="12545" width="4.7109375" customWidth="1"/>
    <col min="12546" max="12546" width="21.85546875" customWidth="1"/>
    <col min="12547" max="12547" width="28.2109375" customWidth="1"/>
    <col min="12548" max="12548" width="31.2109375" customWidth="1"/>
    <col min="12549" max="12549" width="23.85546875" customWidth="1"/>
    <col min="12801" max="12801" width="4.7109375" customWidth="1"/>
    <col min="12802" max="12802" width="21.85546875" customWidth="1"/>
    <col min="12803" max="12803" width="28.2109375" customWidth="1"/>
    <col min="12804" max="12804" width="31.2109375" customWidth="1"/>
    <col min="12805" max="12805" width="23.85546875" customWidth="1"/>
    <col min="13057" max="13057" width="4.7109375" customWidth="1"/>
    <col min="13058" max="13058" width="21.85546875" customWidth="1"/>
    <col min="13059" max="13059" width="28.2109375" customWidth="1"/>
    <col min="13060" max="13060" width="31.2109375" customWidth="1"/>
    <col min="13061" max="13061" width="23.85546875" customWidth="1"/>
    <col min="13313" max="13313" width="4.7109375" customWidth="1"/>
    <col min="13314" max="13314" width="21.85546875" customWidth="1"/>
    <col min="13315" max="13315" width="28.2109375" customWidth="1"/>
    <col min="13316" max="13316" width="31.2109375" customWidth="1"/>
    <col min="13317" max="13317" width="23.85546875" customWidth="1"/>
    <col min="13569" max="13569" width="4.7109375" customWidth="1"/>
    <col min="13570" max="13570" width="21.85546875" customWidth="1"/>
    <col min="13571" max="13571" width="28.2109375" customWidth="1"/>
    <col min="13572" max="13572" width="31.2109375" customWidth="1"/>
    <col min="13573" max="13573" width="23.85546875" customWidth="1"/>
    <col min="13825" max="13825" width="4.7109375" customWidth="1"/>
    <col min="13826" max="13826" width="21.85546875" customWidth="1"/>
    <col min="13827" max="13827" width="28.2109375" customWidth="1"/>
    <col min="13828" max="13828" width="31.2109375" customWidth="1"/>
    <col min="13829" max="13829" width="23.85546875" customWidth="1"/>
    <col min="14081" max="14081" width="4.7109375" customWidth="1"/>
    <col min="14082" max="14082" width="21.85546875" customWidth="1"/>
    <col min="14083" max="14083" width="28.2109375" customWidth="1"/>
    <col min="14084" max="14084" width="31.2109375" customWidth="1"/>
    <col min="14085" max="14085" width="23.85546875" customWidth="1"/>
    <col min="14337" max="14337" width="4.7109375" customWidth="1"/>
    <col min="14338" max="14338" width="21.85546875" customWidth="1"/>
    <col min="14339" max="14339" width="28.2109375" customWidth="1"/>
    <col min="14340" max="14340" width="31.2109375" customWidth="1"/>
    <col min="14341" max="14341" width="23.85546875" customWidth="1"/>
    <col min="14593" max="14593" width="4.7109375" customWidth="1"/>
    <col min="14594" max="14594" width="21.85546875" customWidth="1"/>
    <col min="14595" max="14595" width="28.2109375" customWidth="1"/>
    <col min="14596" max="14596" width="31.2109375" customWidth="1"/>
    <col min="14597" max="14597" width="23.85546875" customWidth="1"/>
    <col min="14849" max="14849" width="4.7109375" customWidth="1"/>
    <col min="14850" max="14850" width="21.85546875" customWidth="1"/>
    <col min="14851" max="14851" width="28.2109375" customWidth="1"/>
    <col min="14852" max="14852" width="31.2109375" customWidth="1"/>
    <col min="14853" max="14853" width="23.85546875" customWidth="1"/>
    <col min="15105" max="15105" width="4.7109375" customWidth="1"/>
    <col min="15106" max="15106" width="21.85546875" customWidth="1"/>
    <col min="15107" max="15107" width="28.2109375" customWidth="1"/>
    <col min="15108" max="15108" width="31.2109375" customWidth="1"/>
    <col min="15109" max="15109" width="23.85546875" customWidth="1"/>
    <col min="15361" max="15361" width="4.7109375" customWidth="1"/>
    <col min="15362" max="15362" width="21.85546875" customWidth="1"/>
    <col min="15363" max="15363" width="28.2109375" customWidth="1"/>
    <col min="15364" max="15364" width="31.2109375" customWidth="1"/>
    <col min="15365" max="15365" width="23.85546875" customWidth="1"/>
    <col min="15617" max="15617" width="4.7109375" customWidth="1"/>
    <col min="15618" max="15618" width="21.85546875" customWidth="1"/>
    <col min="15619" max="15619" width="28.2109375" customWidth="1"/>
    <col min="15620" max="15620" width="31.2109375" customWidth="1"/>
    <col min="15621" max="15621" width="23.85546875" customWidth="1"/>
    <col min="15873" max="15873" width="4.7109375" customWidth="1"/>
    <col min="15874" max="15874" width="21.85546875" customWidth="1"/>
    <col min="15875" max="15875" width="28.2109375" customWidth="1"/>
    <col min="15876" max="15876" width="31.2109375" customWidth="1"/>
    <col min="15877" max="15877" width="23.85546875" customWidth="1"/>
    <col min="16129" max="16129" width="4.7109375" customWidth="1"/>
    <col min="16130" max="16130" width="21.85546875" customWidth="1"/>
    <col min="16131" max="16131" width="28.2109375" customWidth="1"/>
    <col min="16132" max="16132" width="31.2109375" customWidth="1"/>
    <col min="16133" max="16133" width="23.85546875" customWidth="1"/>
  </cols>
  <sheetData>
    <row r="1" spans="1:5" ht="24.75" customHeight="1">
      <c r="A1" s="3069" t="s">
        <v>112</v>
      </c>
      <c r="B1" s="3070"/>
      <c r="C1" s="3070"/>
      <c r="D1" s="3070"/>
      <c r="E1" s="3071"/>
    </row>
    <row r="2" spans="1:5" ht="24.75" customHeight="1" thickBot="1">
      <c r="A2" s="3072" t="s">
        <v>189</v>
      </c>
      <c r="B2" s="3073"/>
      <c r="C2" s="3073"/>
      <c r="D2" s="3073"/>
      <c r="E2" s="3074"/>
    </row>
    <row r="3" spans="1:5" ht="24.75" customHeight="1" thickBot="1">
      <c r="A3" s="52" t="s">
        <v>6</v>
      </c>
      <c r="B3" s="53" t="s">
        <v>113</v>
      </c>
      <c r="C3" s="54" t="s">
        <v>114</v>
      </c>
      <c r="D3" s="53" t="s">
        <v>115</v>
      </c>
      <c r="E3" s="53" t="s">
        <v>116</v>
      </c>
    </row>
    <row r="4" spans="1:5" ht="24.75" customHeight="1" thickBot="1">
      <c r="A4" s="3075">
        <v>1</v>
      </c>
      <c r="B4" s="3077" t="s">
        <v>117</v>
      </c>
      <c r="C4" s="55" t="s">
        <v>118</v>
      </c>
      <c r="D4" s="56" t="s">
        <v>119</v>
      </c>
      <c r="E4" s="56" t="s">
        <v>119</v>
      </c>
    </row>
    <row r="5" spans="1:5" ht="24.75" customHeight="1" thickBot="1">
      <c r="A5" s="3076"/>
      <c r="B5" s="3078"/>
      <c r="C5" s="55" t="s">
        <v>120</v>
      </c>
      <c r="D5" s="56" t="s">
        <v>121</v>
      </c>
      <c r="E5" s="56" t="s">
        <v>121</v>
      </c>
    </row>
    <row r="6" spans="1:5" ht="24.75" customHeight="1" thickBot="1">
      <c r="A6" s="3075">
        <v>2</v>
      </c>
      <c r="B6" s="3077" t="s">
        <v>122</v>
      </c>
      <c r="C6" s="55" t="s">
        <v>123</v>
      </c>
      <c r="D6" s="3077" t="s">
        <v>124</v>
      </c>
      <c r="E6" s="57" t="s">
        <v>125</v>
      </c>
    </row>
    <row r="7" spans="1:5" ht="24.75" customHeight="1" thickBot="1">
      <c r="A7" s="3079"/>
      <c r="B7" s="3080"/>
      <c r="C7" s="55" t="s">
        <v>126</v>
      </c>
      <c r="D7" s="3080"/>
      <c r="E7" s="57" t="s">
        <v>127</v>
      </c>
    </row>
    <row r="8" spans="1:5" ht="24.75" customHeight="1" thickBot="1">
      <c r="A8" s="3079"/>
      <c r="B8" s="3080"/>
      <c r="C8" s="55" t="s">
        <v>128</v>
      </c>
      <c r="D8" s="3080"/>
      <c r="E8" s="57" t="s">
        <v>129</v>
      </c>
    </row>
    <row r="9" spans="1:5" ht="24.75" customHeight="1" thickBot="1">
      <c r="A9" s="3076"/>
      <c r="B9" s="3078"/>
      <c r="C9" s="55" t="s">
        <v>130</v>
      </c>
      <c r="D9" s="3078"/>
      <c r="E9" s="58"/>
    </row>
    <row r="10" spans="1:5" ht="24.75" customHeight="1" thickBot="1">
      <c r="A10" s="3075">
        <v>3</v>
      </c>
      <c r="B10" s="3077" t="s">
        <v>131</v>
      </c>
      <c r="C10" s="55" t="s">
        <v>132</v>
      </c>
      <c r="D10" s="56" t="s">
        <v>133</v>
      </c>
      <c r="E10" s="56" t="s">
        <v>134</v>
      </c>
    </row>
    <row r="11" spans="1:5" ht="45.75" customHeight="1" thickBot="1">
      <c r="A11" s="3076"/>
      <c r="B11" s="3078"/>
      <c r="C11" s="55" t="s">
        <v>135</v>
      </c>
      <c r="D11" s="56" t="s">
        <v>136</v>
      </c>
      <c r="E11" s="56" t="s">
        <v>137</v>
      </c>
    </row>
    <row r="12" spans="1:5" ht="24.75" customHeight="1" thickBot="1">
      <c r="A12" s="3075">
        <v>4</v>
      </c>
      <c r="B12" s="3077" t="s">
        <v>138</v>
      </c>
      <c r="C12" s="55" t="s">
        <v>132</v>
      </c>
      <c r="D12" s="59" t="s">
        <v>190</v>
      </c>
      <c r="E12" s="56" t="s">
        <v>139</v>
      </c>
    </row>
    <row r="13" spans="1:5" ht="48" customHeight="1" thickBot="1">
      <c r="A13" s="3076"/>
      <c r="B13" s="3078"/>
      <c r="C13" s="55" t="s">
        <v>135</v>
      </c>
      <c r="D13" s="56" t="s">
        <v>133</v>
      </c>
      <c r="E13" s="56" t="s">
        <v>127</v>
      </c>
    </row>
    <row r="14" spans="1:5" ht="24.75" customHeight="1" thickBot="1">
      <c r="A14" s="60">
        <v>5</v>
      </c>
      <c r="B14" s="3077" t="s">
        <v>140</v>
      </c>
      <c r="C14" s="55" t="s">
        <v>141</v>
      </c>
      <c r="D14" s="56" t="s">
        <v>142</v>
      </c>
      <c r="E14" s="56" t="s">
        <v>143</v>
      </c>
    </row>
    <row r="15" spans="1:5" ht="24.75" customHeight="1" thickBot="1">
      <c r="A15" s="61"/>
      <c r="B15" s="3078"/>
      <c r="C15" s="55" t="s">
        <v>135</v>
      </c>
      <c r="D15" s="56" t="s">
        <v>144</v>
      </c>
      <c r="E15" s="56" t="s">
        <v>144</v>
      </c>
    </row>
    <row r="16" spans="1:5" ht="24.75" customHeight="1" thickBot="1">
      <c r="A16" s="3075">
        <v>6</v>
      </c>
      <c r="B16" s="3077" t="s">
        <v>145</v>
      </c>
      <c r="C16" s="55" t="s">
        <v>146</v>
      </c>
      <c r="D16" s="56" t="s">
        <v>147</v>
      </c>
      <c r="E16" s="3077" t="s">
        <v>148</v>
      </c>
    </row>
    <row r="17" spans="1:5" ht="24.75" customHeight="1" thickBot="1">
      <c r="A17" s="3076"/>
      <c r="B17" s="3078"/>
      <c r="C17" s="55" t="s">
        <v>149</v>
      </c>
      <c r="D17" s="56" t="s">
        <v>150</v>
      </c>
      <c r="E17" s="3078"/>
    </row>
    <row r="18" spans="1:5" ht="44.15" customHeight="1">
      <c r="A18" s="3075">
        <v>7</v>
      </c>
      <c r="B18" s="3077" t="s">
        <v>151</v>
      </c>
      <c r="C18" s="3092" t="s">
        <v>152</v>
      </c>
      <c r="D18" s="57" t="s">
        <v>153</v>
      </c>
      <c r="E18" s="3077" t="s">
        <v>148</v>
      </c>
    </row>
    <row r="19" spans="1:5" ht="24" customHeight="1" thickBot="1">
      <c r="A19" s="3079"/>
      <c r="B19" s="3080"/>
      <c r="C19" s="3093"/>
      <c r="D19" s="56" t="s">
        <v>154</v>
      </c>
      <c r="E19" s="3078"/>
    </row>
    <row r="20" spans="1:5" ht="48" customHeight="1" thickBot="1">
      <c r="A20" s="3076"/>
      <c r="B20" s="3078"/>
      <c r="C20" s="55" t="s">
        <v>155</v>
      </c>
      <c r="D20" s="62" t="s">
        <v>156</v>
      </c>
      <c r="E20" s="56" t="s">
        <v>148</v>
      </c>
    </row>
    <row r="21" spans="1:5" ht="24.75" customHeight="1" thickBot="1">
      <c r="A21" s="52">
        <v>8</v>
      </c>
      <c r="B21" s="56" t="s">
        <v>157</v>
      </c>
      <c r="C21" s="63"/>
      <c r="D21" s="56" t="s">
        <v>158</v>
      </c>
      <c r="E21" s="64"/>
    </row>
    <row r="22" spans="1:5" ht="70" customHeight="1">
      <c r="A22" s="3075">
        <v>9</v>
      </c>
      <c r="B22" s="3077" t="s">
        <v>159</v>
      </c>
      <c r="C22" s="3077" t="s">
        <v>160</v>
      </c>
      <c r="D22" s="3094" t="s">
        <v>161</v>
      </c>
      <c r="E22" s="3077" t="s">
        <v>162</v>
      </c>
    </row>
    <row r="23" spans="1:5" ht="39" customHeight="1">
      <c r="A23" s="3079"/>
      <c r="B23" s="3080"/>
      <c r="C23" s="3087"/>
      <c r="D23" s="3095"/>
      <c r="E23" s="3080"/>
    </row>
    <row r="24" spans="1:5" ht="24.75" customHeight="1">
      <c r="A24" s="3081">
        <v>10</v>
      </c>
      <c r="B24" s="3084" t="s">
        <v>163</v>
      </c>
      <c r="C24" s="3086"/>
      <c r="D24" s="65" t="s">
        <v>164</v>
      </c>
      <c r="E24" s="3089"/>
    </row>
    <row r="25" spans="1:5" ht="24.75" customHeight="1">
      <c r="A25" s="3082"/>
      <c r="B25" s="3080"/>
      <c r="C25" s="3087"/>
      <c r="D25" s="66" t="s">
        <v>165</v>
      </c>
      <c r="E25" s="3090"/>
    </row>
    <row r="26" spans="1:5" ht="24.75" customHeight="1">
      <c r="A26" s="3082"/>
      <c r="B26" s="3080"/>
      <c r="C26" s="3087"/>
      <c r="D26" s="66" t="s">
        <v>166</v>
      </c>
      <c r="E26" s="3090"/>
    </row>
    <row r="27" spans="1:5" ht="24.75" customHeight="1">
      <c r="A27" s="3083"/>
      <c r="B27" s="3085"/>
      <c r="C27" s="3088"/>
      <c r="D27" s="67" t="s">
        <v>167</v>
      </c>
      <c r="E27" s="3091"/>
    </row>
    <row r="28" spans="1:5" ht="24.75" customHeight="1">
      <c r="A28" s="68" t="s">
        <v>168</v>
      </c>
    </row>
    <row r="29" spans="1:5" ht="24.75" customHeight="1">
      <c r="A29" s="68" t="s">
        <v>169</v>
      </c>
    </row>
    <row r="30" spans="1:5" ht="24.75" customHeight="1">
      <c r="A30" s="68" t="s">
        <v>170</v>
      </c>
    </row>
    <row r="31" spans="1:5" ht="24.75" customHeight="1">
      <c r="A31" s="68" t="s">
        <v>171</v>
      </c>
    </row>
    <row r="32" spans="1:5" ht="24.75" customHeight="1">
      <c r="A32" s="68" t="s">
        <v>172</v>
      </c>
    </row>
    <row r="33" spans="1:5" ht="24.75" customHeight="1">
      <c r="A33" s="68" t="s">
        <v>173</v>
      </c>
      <c r="D33"/>
      <c r="E33"/>
    </row>
    <row r="34" spans="1:5" ht="24.75" customHeight="1">
      <c r="A34" s="68" t="s">
        <v>174</v>
      </c>
      <c r="D34"/>
      <c r="E34"/>
    </row>
    <row r="35" spans="1:5" ht="24.75" customHeight="1">
      <c r="A35" s="68" t="s">
        <v>175</v>
      </c>
      <c r="D35"/>
      <c r="E35"/>
    </row>
    <row r="36" spans="1:5" ht="24.75" customHeight="1">
      <c r="A36" s="68"/>
      <c r="B36" s="70" t="s">
        <v>176</v>
      </c>
      <c r="D36"/>
      <c r="E36"/>
    </row>
    <row r="37" spans="1:5" ht="24.75" customHeight="1">
      <c r="A37" s="70" t="s">
        <v>177</v>
      </c>
      <c r="D37"/>
      <c r="E37"/>
    </row>
  </sheetData>
  <mergeCells count="28">
    <mergeCell ref="A24:A27"/>
    <mergeCell ref="B24:B27"/>
    <mergeCell ref="C24:C27"/>
    <mergeCell ref="E24:E27"/>
    <mergeCell ref="E16:E17"/>
    <mergeCell ref="A18:A20"/>
    <mergeCell ref="B18:B20"/>
    <mergeCell ref="C18:C19"/>
    <mergeCell ref="E18:E19"/>
    <mergeCell ref="A22:A23"/>
    <mergeCell ref="B22:B23"/>
    <mergeCell ref="C22:C23"/>
    <mergeCell ref="D22:D23"/>
    <mergeCell ref="E22:E23"/>
    <mergeCell ref="A16:A17"/>
    <mergeCell ref="B16:B17"/>
    <mergeCell ref="A10:A11"/>
    <mergeCell ref="B10:B11"/>
    <mergeCell ref="A12:A13"/>
    <mergeCell ref="B12:B13"/>
    <mergeCell ref="B14:B15"/>
    <mergeCell ref="A1:E1"/>
    <mergeCell ref="A2:E2"/>
    <mergeCell ref="A4:A5"/>
    <mergeCell ref="B4:B5"/>
    <mergeCell ref="A6:A9"/>
    <mergeCell ref="B6:B9"/>
    <mergeCell ref="D6:D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80A0-E507-409B-8867-BD02825B70E6}">
  <sheetPr>
    <tabColor rgb="FF92D050"/>
  </sheetPr>
  <dimension ref="A1:AE60"/>
  <sheetViews>
    <sheetView zoomScale="60" zoomScaleNormal="60" workbookViewId="0">
      <selection activeCell="N51" sqref="N51:Z51"/>
    </sheetView>
  </sheetViews>
  <sheetFormatPr defaultRowHeight="12.45"/>
  <cols>
    <col min="1" max="1" width="4.42578125" style="129" customWidth="1"/>
    <col min="2" max="2" width="6.92578125" style="129" customWidth="1"/>
    <col min="3" max="3" width="6.7109375" style="129" customWidth="1"/>
    <col min="4" max="4" width="4.42578125" style="129" customWidth="1"/>
    <col min="5" max="5" width="20.5703125" style="129" customWidth="1"/>
    <col min="6" max="6" width="21.0703125" style="129" customWidth="1"/>
    <col min="7" max="7" width="12.5703125" style="129" customWidth="1"/>
    <col min="8" max="8" width="3.92578125" style="129" customWidth="1"/>
    <col min="9" max="9" width="4.2109375" style="129" customWidth="1"/>
    <col min="10" max="10" width="4.0703125" style="129" customWidth="1"/>
    <col min="11" max="11" width="4" style="129" customWidth="1"/>
    <col min="12" max="12" width="16.42578125" style="129" customWidth="1"/>
    <col min="13" max="13" width="7.5" style="129" customWidth="1"/>
    <col min="14" max="14" width="9.5" style="129" customWidth="1"/>
    <col min="15" max="15" width="8.2109375" style="129" customWidth="1"/>
    <col min="16" max="16" width="10.2109375" style="129" customWidth="1"/>
    <col min="17" max="17" width="9.5" style="129" customWidth="1"/>
    <col min="18" max="18" width="8.42578125" style="129" customWidth="1"/>
    <col min="19" max="19" width="8.5703125" style="129" customWidth="1"/>
    <col min="20" max="20" width="8.5" style="129" customWidth="1"/>
    <col min="21" max="21" width="5.7109375" style="129" customWidth="1"/>
    <col min="22" max="22" width="7.5703125" style="129" customWidth="1"/>
    <col min="23" max="23" width="9.7109375" style="129" customWidth="1"/>
    <col min="24" max="24" width="6.92578125" style="129" customWidth="1"/>
    <col min="25" max="25" width="8.5703125" style="129" customWidth="1"/>
    <col min="26" max="26" width="7.78515625" style="129" customWidth="1"/>
    <col min="27" max="27" width="10.5703125" style="129" customWidth="1"/>
    <col min="28" max="28" width="10.2109375" style="129" customWidth="1"/>
    <col min="29" max="29" width="11.85546875" style="129" customWidth="1"/>
    <col min="30" max="255" width="9.140625" style="129"/>
    <col min="256" max="256" width="4.42578125" style="129" customWidth="1"/>
    <col min="257" max="257" width="20.5703125" style="129" customWidth="1"/>
    <col min="258" max="258" width="12.42578125" style="129" customWidth="1"/>
    <col min="259" max="259" width="12.5703125" style="129" customWidth="1"/>
    <col min="260" max="260" width="3.92578125" style="129" customWidth="1"/>
    <col min="261" max="261" width="4.2109375" style="129" customWidth="1"/>
    <col min="262" max="262" width="4.0703125" style="129" customWidth="1"/>
    <col min="263" max="263" width="4" style="129" customWidth="1"/>
    <col min="264" max="264" width="16.42578125" style="129" customWidth="1"/>
    <col min="265" max="265" width="5.5703125" style="129" customWidth="1"/>
    <col min="266" max="266" width="8.7109375" style="129" customWidth="1"/>
    <col min="267" max="267" width="5.42578125" style="129" customWidth="1"/>
    <col min="268" max="268" width="4.42578125" style="129" customWidth="1"/>
    <col min="269" max="269" width="4.2109375" style="129" customWidth="1"/>
    <col min="270" max="270" width="3.0703125" style="129" customWidth="1"/>
    <col min="271" max="271" width="4.5703125" style="129" customWidth="1"/>
    <col min="272" max="272" width="4.42578125" style="129" customWidth="1"/>
    <col min="273" max="273" width="4" style="129" customWidth="1"/>
    <col min="274" max="274" width="3" style="129" customWidth="1"/>
    <col min="275" max="275" width="3.92578125" style="129" customWidth="1"/>
    <col min="276" max="276" width="4.42578125" style="129" customWidth="1"/>
    <col min="277" max="277" width="3.42578125" style="129" customWidth="1"/>
    <col min="278" max="278" width="4.92578125" style="129" customWidth="1"/>
    <col min="279" max="279" width="10.5703125" style="129" customWidth="1"/>
    <col min="280" max="280" width="7.0703125" style="129" customWidth="1"/>
    <col min="281" max="281" width="8.0703125" style="129" customWidth="1"/>
    <col min="282" max="282" width="7.5703125" style="129" customWidth="1"/>
    <col min="283" max="284" width="7.7109375" style="129" customWidth="1"/>
    <col min="285" max="285" width="7.0703125" style="129" customWidth="1"/>
    <col min="286" max="511" width="9.140625" style="129"/>
    <col min="512" max="512" width="4.42578125" style="129" customWidth="1"/>
    <col min="513" max="513" width="20.5703125" style="129" customWidth="1"/>
    <col min="514" max="514" width="12.42578125" style="129" customWidth="1"/>
    <col min="515" max="515" width="12.5703125" style="129" customWidth="1"/>
    <col min="516" max="516" width="3.92578125" style="129" customWidth="1"/>
    <col min="517" max="517" width="4.2109375" style="129" customWidth="1"/>
    <col min="518" max="518" width="4.0703125" style="129" customWidth="1"/>
    <col min="519" max="519" width="4" style="129" customWidth="1"/>
    <col min="520" max="520" width="16.42578125" style="129" customWidth="1"/>
    <col min="521" max="521" width="5.5703125" style="129" customWidth="1"/>
    <col min="522" max="522" width="8.7109375" style="129" customWidth="1"/>
    <col min="523" max="523" width="5.42578125" style="129" customWidth="1"/>
    <col min="524" max="524" width="4.42578125" style="129" customWidth="1"/>
    <col min="525" max="525" width="4.2109375" style="129" customWidth="1"/>
    <col min="526" max="526" width="3.0703125" style="129" customWidth="1"/>
    <col min="527" max="527" width="4.5703125" style="129" customWidth="1"/>
    <col min="528" max="528" width="4.42578125" style="129" customWidth="1"/>
    <col min="529" max="529" width="4" style="129" customWidth="1"/>
    <col min="530" max="530" width="3" style="129" customWidth="1"/>
    <col min="531" max="531" width="3.92578125" style="129" customWidth="1"/>
    <col min="532" max="532" width="4.42578125" style="129" customWidth="1"/>
    <col min="533" max="533" width="3.42578125" style="129" customWidth="1"/>
    <col min="534" max="534" width="4.92578125" style="129" customWidth="1"/>
    <col min="535" max="535" width="10.5703125" style="129" customWidth="1"/>
    <col min="536" max="536" width="7.0703125" style="129" customWidth="1"/>
    <col min="537" max="537" width="8.0703125" style="129" customWidth="1"/>
    <col min="538" max="538" width="7.5703125" style="129" customWidth="1"/>
    <col min="539" max="540" width="7.7109375" style="129" customWidth="1"/>
    <col min="541" max="541" width="7.0703125" style="129" customWidth="1"/>
    <col min="542" max="767" width="9.140625" style="129"/>
    <col min="768" max="768" width="4.42578125" style="129" customWidth="1"/>
    <col min="769" max="769" width="20.5703125" style="129" customWidth="1"/>
    <col min="770" max="770" width="12.42578125" style="129" customWidth="1"/>
    <col min="771" max="771" width="12.5703125" style="129" customWidth="1"/>
    <col min="772" max="772" width="3.92578125" style="129" customWidth="1"/>
    <col min="773" max="773" width="4.2109375" style="129" customWidth="1"/>
    <col min="774" max="774" width="4.0703125" style="129" customWidth="1"/>
    <col min="775" max="775" width="4" style="129" customWidth="1"/>
    <col min="776" max="776" width="16.42578125" style="129" customWidth="1"/>
    <col min="777" max="777" width="5.5703125" style="129" customWidth="1"/>
    <col min="778" max="778" width="8.7109375" style="129" customWidth="1"/>
    <col min="779" max="779" width="5.42578125" style="129" customWidth="1"/>
    <col min="780" max="780" width="4.42578125" style="129" customWidth="1"/>
    <col min="781" max="781" width="4.2109375" style="129" customWidth="1"/>
    <col min="782" max="782" width="3.0703125" style="129" customWidth="1"/>
    <col min="783" max="783" width="4.5703125" style="129" customWidth="1"/>
    <col min="784" max="784" width="4.42578125" style="129" customWidth="1"/>
    <col min="785" max="785" width="4" style="129" customWidth="1"/>
    <col min="786" max="786" width="3" style="129" customWidth="1"/>
    <col min="787" max="787" width="3.92578125" style="129" customWidth="1"/>
    <col min="788" max="788" width="4.42578125" style="129" customWidth="1"/>
    <col min="789" max="789" width="3.42578125" style="129" customWidth="1"/>
    <col min="790" max="790" width="4.92578125" style="129" customWidth="1"/>
    <col min="791" max="791" width="10.5703125" style="129" customWidth="1"/>
    <col min="792" max="792" width="7.0703125" style="129" customWidth="1"/>
    <col min="793" max="793" width="8.0703125" style="129" customWidth="1"/>
    <col min="794" max="794" width="7.5703125" style="129" customWidth="1"/>
    <col min="795" max="796" width="7.7109375" style="129" customWidth="1"/>
    <col min="797" max="797" width="7.0703125" style="129" customWidth="1"/>
    <col min="798" max="1023" width="9.140625" style="129"/>
    <col min="1024" max="1024" width="4.42578125" style="129" customWidth="1"/>
    <col min="1025" max="1025" width="20.5703125" style="129" customWidth="1"/>
    <col min="1026" max="1026" width="12.42578125" style="129" customWidth="1"/>
    <col min="1027" max="1027" width="12.5703125" style="129" customWidth="1"/>
    <col min="1028" max="1028" width="3.92578125" style="129" customWidth="1"/>
    <col min="1029" max="1029" width="4.2109375" style="129" customWidth="1"/>
    <col min="1030" max="1030" width="4.0703125" style="129" customWidth="1"/>
    <col min="1031" max="1031" width="4" style="129" customWidth="1"/>
    <col min="1032" max="1032" width="16.42578125" style="129" customWidth="1"/>
    <col min="1033" max="1033" width="5.5703125" style="129" customWidth="1"/>
    <col min="1034" max="1034" width="8.7109375" style="129" customWidth="1"/>
    <col min="1035" max="1035" width="5.42578125" style="129" customWidth="1"/>
    <col min="1036" max="1036" width="4.42578125" style="129" customWidth="1"/>
    <col min="1037" max="1037" width="4.2109375" style="129" customWidth="1"/>
    <col min="1038" max="1038" width="3.0703125" style="129" customWidth="1"/>
    <col min="1039" max="1039" width="4.5703125" style="129" customWidth="1"/>
    <col min="1040" max="1040" width="4.42578125" style="129" customWidth="1"/>
    <col min="1041" max="1041" width="4" style="129" customWidth="1"/>
    <col min="1042" max="1042" width="3" style="129" customWidth="1"/>
    <col min="1043" max="1043" width="3.92578125" style="129" customWidth="1"/>
    <col min="1044" max="1044" width="4.42578125" style="129" customWidth="1"/>
    <col min="1045" max="1045" width="3.42578125" style="129" customWidth="1"/>
    <col min="1046" max="1046" width="4.92578125" style="129" customWidth="1"/>
    <col min="1047" max="1047" width="10.5703125" style="129" customWidth="1"/>
    <col min="1048" max="1048" width="7.0703125" style="129" customWidth="1"/>
    <col min="1049" max="1049" width="8.0703125" style="129" customWidth="1"/>
    <col min="1050" max="1050" width="7.5703125" style="129" customWidth="1"/>
    <col min="1051" max="1052" width="7.7109375" style="129" customWidth="1"/>
    <col min="1053" max="1053" width="7.0703125" style="129" customWidth="1"/>
    <col min="1054" max="1279" width="9.140625" style="129"/>
    <col min="1280" max="1280" width="4.42578125" style="129" customWidth="1"/>
    <col min="1281" max="1281" width="20.5703125" style="129" customWidth="1"/>
    <col min="1282" max="1282" width="12.42578125" style="129" customWidth="1"/>
    <col min="1283" max="1283" width="12.5703125" style="129" customWidth="1"/>
    <col min="1284" max="1284" width="3.92578125" style="129" customWidth="1"/>
    <col min="1285" max="1285" width="4.2109375" style="129" customWidth="1"/>
    <col min="1286" max="1286" width="4.0703125" style="129" customWidth="1"/>
    <col min="1287" max="1287" width="4" style="129" customWidth="1"/>
    <col min="1288" max="1288" width="16.42578125" style="129" customWidth="1"/>
    <col min="1289" max="1289" width="5.5703125" style="129" customWidth="1"/>
    <col min="1290" max="1290" width="8.7109375" style="129" customWidth="1"/>
    <col min="1291" max="1291" width="5.42578125" style="129" customWidth="1"/>
    <col min="1292" max="1292" width="4.42578125" style="129" customWidth="1"/>
    <col min="1293" max="1293" width="4.2109375" style="129" customWidth="1"/>
    <col min="1294" max="1294" width="3.0703125" style="129" customWidth="1"/>
    <col min="1295" max="1295" width="4.5703125" style="129" customWidth="1"/>
    <col min="1296" max="1296" width="4.42578125" style="129" customWidth="1"/>
    <col min="1297" max="1297" width="4" style="129" customWidth="1"/>
    <col min="1298" max="1298" width="3" style="129" customWidth="1"/>
    <col min="1299" max="1299" width="3.92578125" style="129" customWidth="1"/>
    <col min="1300" max="1300" width="4.42578125" style="129" customWidth="1"/>
    <col min="1301" max="1301" width="3.42578125" style="129" customWidth="1"/>
    <col min="1302" max="1302" width="4.92578125" style="129" customWidth="1"/>
    <col min="1303" max="1303" width="10.5703125" style="129" customWidth="1"/>
    <col min="1304" max="1304" width="7.0703125" style="129" customWidth="1"/>
    <col min="1305" max="1305" width="8.0703125" style="129" customWidth="1"/>
    <col min="1306" max="1306" width="7.5703125" style="129" customWidth="1"/>
    <col min="1307" max="1308" width="7.7109375" style="129" customWidth="1"/>
    <col min="1309" max="1309" width="7.0703125" style="129" customWidth="1"/>
    <col min="1310" max="1535" width="9.140625" style="129"/>
    <col min="1536" max="1536" width="4.42578125" style="129" customWidth="1"/>
    <col min="1537" max="1537" width="20.5703125" style="129" customWidth="1"/>
    <col min="1538" max="1538" width="12.42578125" style="129" customWidth="1"/>
    <col min="1539" max="1539" width="12.5703125" style="129" customWidth="1"/>
    <col min="1540" max="1540" width="3.92578125" style="129" customWidth="1"/>
    <col min="1541" max="1541" width="4.2109375" style="129" customWidth="1"/>
    <col min="1542" max="1542" width="4.0703125" style="129" customWidth="1"/>
    <col min="1543" max="1543" width="4" style="129" customWidth="1"/>
    <col min="1544" max="1544" width="16.42578125" style="129" customWidth="1"/>
    <col min="1545" max="1545" width="5.5703125" style="129" customWidth="1"/>
    <col min="1546" max="1546" width="8.7109375" style="129" customWidth="1"/>
    <col min="1547" max="1547" width="5.42578125" style="129" customWidth="1"/>
    <col min="1548" max="1548" width="4.42578125" style="129" customWidth="1"/>
    <col min="1549" max="1549" width="4.2109375" style="129" customWidth="1"/>
    <col min="1550" max="1550" width="3.0703125" style="129" customWidth="1"/>
    <col min="1551" max="1551" width="4.5703125" style="129" customWidth="1"/>
    <col min="1552" max="1552" width="4.42578125" style="129" customWidth="1"/>
    <col min="1553" max="1553" width="4" style="129" customWidth="1"/>
    <col min="1554" max="1554" width="3" style="129" customWidth="1"/>
    <col min="1555" max="1555" width="3.92578125" style="129" customWidth="1"/>
    <col min="1556" max="1556" width="4.42578125" style="129" customWidth="1"/>
    <col min="1557" max="1557" width="3.42578125" style="129" customWidth="1"/>
    <col min="1558" max="1558" width="4.92578125" style="129" customWidth="1"/>
    <col min="1559" max="1559" width="10.5703125" style="129" customWidth="1"/>
    <col min="1560" max="1560" width="7.0703125" style="129" customWidth="1"/>
    <col min="1561" max="1561" width="8.0703125" style="129" customWidth="1"/>
    <col min="1562" max="1562" width="7.5703125" style="129" customWidth="1"/>
    <col min="1563" max="1564" width="7.7109375" style="129" customWidth="1"/>
    <col min="1565" max="1565" width="7.0703125" style="129" customWidth="1"/>
    <col min="1566" max="1791" width="9.140625" style="129"/>
    <col min="1792" max="1792" width="4.42578125" style="129" customWidth="1"/>
    <col min="1793" max="1793" width="20.5703125" style="129" customWidth="1"/>
    <col min="1794" max="1794" width="12.42578125" style="129" customWidth="1"/>
    <col min="1795" max="1795" width="12.5703125" style="129" customWidth="1"/>
    <col min="1796" max="1796" width="3.92578125" style="129" customWidth="1"/>
    <col min="1797" max="1797" width="4.2109375" style="129" customWidth="1"/>
    <col min="1798" max="1798" width="4.0703125" style="129" customWidth="1"/>
    <col min="1799" max="1799" width="4" style="129" customWidth="1"/>
    <col min="1800" max="1800" width="16.42578125" style="129" customWidth="1"/>
    <col min="1801" max="1801" width="5.5703125" style="129" customWidth="1"/>
    <col min="1802" max="1802" width="8.7109375" style="129" customWidth="1"/>
    <col min="1803" max="1803" width="5.42578125" style="129" customWidth="1"/>
    <col min="1804" max="1804" width="4.42578125" style="129" customWidth="1"/>
    <col min="1805" max="1805" width="4.2109375" style="129" customWidth="1"/>
    <col min="1806" max="1806" width="3.0703125" style="129" customWidth="1"/>
    <col min="1807" max="1807" width="4.5703125" style="129" customWidth="1"/>
    <col min="1808" max="1808" width="4.42578125" style="129" customWidth="1"/>
    <col min="1809" max="1809" width="4" style="129" customWidth="1"/>
    <col min="1810" max="1810" width="3" style="129" customWidth="1"/>
    <col min="1811" max="1811" width="3.92578125" style="129" customWidth="1"/>
    <col min="1812" max="1812" width="4.42578125" style="129" customWidth="1"/>
    <col min="1813" max="1813" width="3.42578125" style="129" customWidth="1"/>
    <col min="1814" max="1814" width="4.92578125" style="129" customWidth="1"/>
    <col min="1815" max="1815" width="10.5703125" style="129" customWidth="1"/>
    <col min="1816" max="1816" width="7.0703125" style="129" customWidth="1"/>
    <col min="1817" max="1817" width="8.0703125" style="129" customWidth="1"/>
    <col min="1818" max="1818" width="7.5703125" style="129" customWidth="1"/>
    <col min="1819" max="1820" width="7.7109375" style="129" customWidth="1"/>
    <col min="1821" max="1821" width="7.0703125" style="129" customWidth="1"/>
    <col min="1822" max="2047" width="9.140625" style="129"/>
    <col min="2048" max="2048" width="4.42578125" style="129" customWidth="1"/>
    <col min="2049" max="2049" width="20.5703125" style="129" customWidth="1"/>
    <col min="2050" max="2050" width="12.42578125" style="129" customWidth="1"/>
    <col min="2051" max="2051" width="12.5703125" style="129" customWidth="1"/>
    <col min="2052" max="2052" width="3.92578125" style="129" customWidth="1"/>
    <col min="2053" max="2053" width="4.2109375" style="129" customWidth="1"/>
    <col min="2054" max="2054" width="4.0703125" style="129" customWidth="1"/>
    <col min="2055" max="2055" width="4" style="129" customWidth="1"/>
    <col min="2056" max="2056" width="16.42578125" style="129" customWidth="1"/>
    <col min="2057" max="2057" width="5.5703125" style="129" customWidth="1"/>
    <col min="2058" max="2058" width="8.7109375" style="129" customWidth="1"/>
    <col min="2059" max="2059" width="5.42578125" style="129" customWidth="1"/>
    <col min="2060" max="2060" width="4.42578125" style="129" customWidth="1"/>
    <col min="2061" max="2061" width="4.2109375" style="129" customWidth="1"/>
    <col min="2062" max="2062" width="3.0703125" style="129" customWidth="1"/>
    <col min="2063" max="2063" width="4.5703125" style="129" customWidth="1"/>
    <col min="2064" max="2064" width="4.42578125" style="129" customWidth="1"/>
    <col min="2065" max="2065" width="4" style="129" customWidth="1"/>
    <col min="2066" max="2066" width="3" style="129" customWidth="1"/>
    <col min="2067" max="2067" width="3.92578125" style="129" customWidth="1"/>
    <col min="2068" max="2068" width="4.42578125" style="129" customWidth="1"/>
    <col min="2069" max="2069" width="3.42578125" style="129" customWidth="1"/>
    <col min="2070" max="2070" width="4.92578125" style="129" customWidth="1"/>
    <col min="2071" max="2071" width="10.5703125" style="129" customWidth="1"/>
    <col min="2072" max="2072" width="7.0703125" style="129" customWidth="1"/>
    <col min="2073" max="2073" width="8.0703125" style="129" customWidth="1"/>
    <col min="2074" max="2074" width="7.5703125" style="129" customWidth="1"/>
    <col min="2075" max="2076" width="7.7109375" style="129" customWidth="1"/>
    <col min="2077" max="2077" width="7.0703125" style="129" customWidth="1"/>
    <col min="2078" max="2303" width="9.140625" style="129"/>
    <col min="2304" max="2304" width="4.42578125" style="129" customWidth="1"/>
    <col min="2305" max="2305" width="20.5703125" style="129" customWidth="1"/>
    <col min="2306" max="2306" width="12.42578125" style="129" customWidth="1"/>
    <col min="2307" max="2307" width="12.5703125" style="129" customWidth="1"/>
    <col min="2308" max="2308" width="3.92578125" style="129" customWidth="1"/>
    <col min="2309" max="2309" width="4.2109375" style="129" customWidth="1"/>
    <col min="2310" max="2310" width="4.0703125" style="129" customWidth="1"/>
    <col min="2311" max="2311" width="4" style="129" customWidth="1"/>
    <col min="2312" max="2312" width="16.42578125" style="129" customWidth="1"/>
    <col min="2313" max="2313" width="5.5703125" style="129" customWidth="1"/>
    <col min="2314" max="2314" width="8.7109375" style="129" customWidth="1"/>
    <col min="2315" max="2315" width="5.42578125" style="129" customWidth="1"/>
    <col min="2316" max="2316" width="4.42578125" style="129" customWidth="1"/>
    <col min="2317" max="2317" width="4.2109375" style="129" customWidth="1"/>
    <col min="2318" max="2318" width="3.0703125" style="129" customWidth="1"/>
    <col min="2319" max="2319" width="4.5703125" style="129" customWidth="1"/>
    <col min="2320" max="2320" width="4.42578125" style="129" customWidth="1"/>
    <col min="2321" max="2321" width="4" style="129" customWidth="1"/>
    <col min="2322" max="2322" width="3" style="129" customWidth="1"/>
    <col min="2323" max="2323" width="3.92578125" style="129" customWidth="1"/>
    <col min="2324" max="2324" width="4.42578125" style="129" customWidth="1"/>
    <col min="2325" max="2325" width="3.42578125" style="129" customWidth="1"/>
    <col min="2326" max="2326" width="4.92578125" style="129" customWidth="1"/>
    <col min="2327" max="2327" width="10.5703125" style="129" customWidth="1"/>
    <col min="2328" max="2328" width="7.0703125" style="129" customWidth="1"/>
    <col min="2329" max="2329" width="8.0703125" style="129" customWidth="1"/>
    <col min="2330" max="2330" width="7.5703125" style="129" customWidth="1"/>
    <col min="2331" max="2332" width="7.7109375" style="129" customWidth="1"/>
    <col min="2333" max="2333" width="7.0703125" style="129" customWidth="1"/>
    <col min="2334" max="2559" width="9.140625" style="129"/>
    <col min="2560" max="2560" width="4.42578125" style="129" customWidth="1"/>
    <col min="2561" max="2561" width="20.5703125" style="129" customWidth="1"/>
    <col min="2562" max="2562" width="12.42578125" style="129" customWidth="1"/>
    <col min="2563" max="2563" width="12.5703125" style="129" customWidth="1"/>
    <col min="2564" max="2564" width="3.92578125" style="129" customWidth="1"/>
    <col min="2565" max="2565" width="4.2109375" style="129" customWidth="1"/>
    <col min="2566" max="2566" width="4.0703125" style="129" customWidth="1"/>
    <col min="2567" max="2567" width="4" style="129" customWidth="1"/>
    <col min="2568" max="2568" width="16.42578125" style="129" customWidth="1"/>
    <col min="2569" max="2569" width="5.5703125" style="129" customWidth="1"/>
    <col min="2570" max="2570" width="8.7109375" style="129" customWidth="1"/>
    <col min="2571" max="2571" width="5.42578125" style="129" customWidth="1"/>
    <col min="2572" max="2572" width="4.42578125" style="129" customWidth="1"/>
    <col min="2573" max="2573" width="4.2109375" style="129" customWidth="1"/>
    <col min="2574" max="2574" width="3.0703125" style="129" customWidth="1"/>
    <col min="2575" max="2575" width="4.5703125" style="129" customWidth="1"/>
    <col min="2576" max="2576" width="4.42578125" style="129" customWidth="1"/>
    <col min="2577" max="2577" width="4" style="129" customWidth="1"/>
    <col min="2578" max="2578" width="3" style="129" customWidth="1"/>
    <col min="2579" max="2579" width="3.92578125" style="129" customWidth="1"/>
    <col min="2580" max="2580" width="4.42578125" style="129" customWidth="1"/>
    <col min="2581" max="2581" width="3.42578125" style="129" customWidth="1"/>
    <col min="2582" max="2582" width="4.92578125" style="129" customWidth="1"/>
    <col min="2583" max="2583" width="10.5703125" style="129" customWidth="1"/>
    <col min="2584" max="2584" width="7.0703125" style="129" customWidth="1"/>
    <col min="2585" max="2585" width="8.0703125" style="129" customWidth="1"/>
    <col min="2586" max="2586" width="7.5703125" style="129" customWidth="1"/>
    <col min="2587" max="2588" width="7.7109375" style="129" customWidth="1"/>
    <col min="2589" max="2589" width="7.0703125" style="129" customWidth="1"/>
    <col min="2590" max="2815" width="9.140625" style="129"/>
    <col min="2816" max="2816" width="4.42578125" style="129" customWidth="1"/>
    <col min="2817" max="2817" width="20.5703125" style="129" customWidth="1"/>
    <col min="2818" max="2818" width="12.42578125" style="129" customWidth="1"/>
    <col min="2819" max="2819" width="12.5703125" style="129" customWidth="1"/>
    <col min="2820" max="2820" width="3.92578125" style="129" customWidth="1"/>
    <col min="2821" max="2821" width="4.2109375" style="129" customWidth="1"/>
    <col min="2822" max="2822" width="4.0703125" style="129" customWidth="1"/>
    <col min="2823" max="2823" width="4" style="129" customWidth="1"/>
    <col min="2824" max="2824" width="16.42578125" style="129" customWidth="1"/>
    <col min="2825" max="2825" width="5.5703125" style="129" customWidth="1"/>
    <col min="2826" max="2826" width="8.7109375" style="129" customWidth="1"/>
    <col min="2827" max="2827" width="5.42578125" style="129" customWidth="1"/>
    <col min="2828" max="2828" width="4.42578125" style="129" customWidth="1"/>
    <col min="2829" max="2829" width="4.2109375" style="129" customWidth="1"/>
    <col min="2830" max="2830" width="3.0703125" style="129" customWidth="1"/>
    <col min="2831" max="2831" width="4.5703125" style="129" customWidth="1"/>
    <col min="2832" max="2832" width="4.42578125" style="129" customWidth="1"/>
    <col min="2833" max="2833" width="4" style="129" customWidth="1"/>
    <col min="2834" max="2834" width="3" style="129" customWidth="1"/>
    <col min="2835" max="2835" width="3.92578125" style="129" customWidth="1"/>
    <col min="2836" max="2836" width="4.42578125" style="129" customWidth="1"/>
    <col min="2837" max="2837" width="3.42578125" style="129" customWidth="1"/>
    <col min="2838" max="2838" width="4.92578125" style="129" customWidth="1"/>
    <col min="2839" max="2839" width="10.5703125" style="129" customWidth="1"/>
    <col min="2840" max="2840" width="7.0703125" style="129" customWidth="1"/>
    <col min="2841" max="2841" width="8.0703125" style="129" customWidth="1"/>
    <col min="2842" max="2842" width="7.5703125" style="129" customWidth="1"/>
    <col min="2843" max="2844" width="7.7109375" style="129" customWidth="1"/>
    <col min="2845" max="2845" width="7.0703125" style="129" customWidth="1"/>
    <col min="2846" max="3071" width="9.140625" style="129"/>
    <col min="3072" max="3072" width="4.42578125" style="129" customWidth="1"/>
    <col min="3073" max="3073" width="20.5703125" style="129" customWidth="1"/>
    <col min="3074" max="3074" width="12.42578125" style="129" customWidth="1"/>
    <col min="3075" max="3075" width="12.5703125" style="129" customWidth="1"/>
    <col min="3076" max="3076" width="3.92578125" style="129" customWidth="1"/>
    <col min="3077" max="3077" width="4.2109375" style="129" customWidth="1"/>
    <col min="3078" max="3078" width="4.0703125" style="129" customWidth="1"/>
    <col min="3079" max="3079" width="4" style="129" customWidth="1"/>
    <col min="3080" max="3080" width="16.42578125" style="129" customWidth="1"/>
    <col min="3081" max="3081" width="5.5703125" style="129" customWidth="1"/>
    <col min="3082" max="3082" width="8.7109375" style="129" customWidth="1"/>
    <col min="3083" max="3083" width="5.42578125" style="129" customWidth="1"/>
    <col min="3084" max="3084" width="4.42578125" style="129" customWidth="1"/>
    <col min="3085" max="3085" width="4.2109375" style="129" customWidth="1"/>
    <col min="3086" max="3086" width="3.0703125" style="129" customWidth="1"/>
    <col min="3087" max="3087" width="4.5703125" style="129" customWidth="1"/>
    <col min="3088" max="3088" width="4.42578125" style="129" customWidth="1"/>
    <col min="3089" max="3089" width="4" style="129" customWidth="1"/>
    <col min="3090" max="3090" width="3" style="129" customWidth="1"/>
    <col min="3091" max="3091" width="3.92578125" style="129" customWidth="1"/>
    <col min="3092" max="3092" width="4.42578125" style="129" customWidth="1"/>
    <col min="3093" max="3093" width="3.42578125" style="129" customWidth="1"/>
    <col min="3094" max="3094" width="4.92578125" style="129" customWidth="1"/>
    <col min="3095" max="3095" width="10.5703125" style="129" customWidth="1"/>
    <col min="3096" max="3096" width="7.0703125" style="129" customWidth="1"/>
    <col min="3097" max="3097" width="8.0703125" style="129" customWidth="1"/>
    <col min="3098" max="3098" width="7.5703125" style="129" customWidth="1"/>
    <col min="3099" max="3100" width="7.7109375" style="129" customWidth="1"/>
    <col min="3101" max="3101" width="7.0703125" style="129" customWidth="1"/>
    <col min="3102" max="3327" width="9.140625" style="129"/>
    <col min="3328" max="3328" width="4.42578125" style="129" customWidth="1"/>
    <col min="3329" max="3329" width="20.5703125" style="129" customWidth="1"/>
    <col min="3330" max="3330" width="12.42578125" style="129" customWidth="1"/>
    <col min="3331" max="3331" width="12.5703125" style="129" customWidth="1"/>
    <col min="3332" max="3332" width="3.92578125" style="129" customWidth="1"/>
    <col min="3333" max="3333" width="4.2109375" style="129" customWidth="1"/>
    <col min="3334" max="3334" width="4.0703125" style="129" customWidth="1"/>
    <col min="3335" max="3335" width="4" style="129" customWidth="1"/>
    <col min="3336" max="3336" width="16.42578125" style="129" customWidth="1"/>
    <col min="3337" max="3337" width="5.5703125" style="129" customWidth="1"/>
    <col min="3338" max="3338" width="8.7109375" style="129" customWidth="1"/>
    <col min="3339" max="3339" width="5.42578125" style="129" customWidth="1"/>
    <col min="3340" max="3340" width="4.42578125" style="129" customWidth="1"/>
    <col min="3341" max="3341" width="4.2109375" style="129" customWidth="1"/>
    <col min="3342" max="3342" width="3.0703125" style="129" customWidth="1"/>
    <col min="3343" max="3343" width="4.5703125" style="129" customWidth="1"/>
    <col min="3344" max="3344" width="4.42578125" style="129" customWidth="1"/>
    <col min="3345" max="3345" width="4" style="129" customWidth="1"/>
    <col min="3346" max="3346" width="3" style="129" customWidth="1"/>
    <col min="3347" max="3347" width="3.92578125" style="129" customWidth="1"/>
    <col min="3348" max="3348" width="4.42578125" style="129" customWidth="1"/>
    <col min="3349" max="3349" width="3.42578125" style="129" customWidth="1"/>
    <col min="3350" max="3350" width="4.92578125" style="129" customWidth="1"/>
    <col min="3351" max="3351" width="10.5703125" style="129" customWidth="1"/>
    <col min="3352" max="3352" width="7.0703125" style="129" customWidth="1"/>
    <col min="3353" max="3353" width="8.0703125" style="129" customWidth="1"/>
    <col min="3354" max="3354" width="7.5703125" style="129" customWidth="1"/>
    <col min="3355" max="3356" width="7.7109375" style="129" customWidth="1"/>
    <col min="3357" max="3357" width="7.0703125" style="129" customWidth="1"/>
    <col min="3358" max="3583" width="9.140625" style="129"/>
    <col min="3584" max="3584" width="4.42578125" style="129" customWidth="1"/>
    <col min="3585" max="3585" width="20.5703125" style="129" customWidth="1"/>
    <col min="3586" max="3586" width="12.42578125" style="129" customWidth="1"/>
    <col min="3587" max="3587" width="12.5703125" style="129" customWidth="1"/>
    <col min="3588" max="3588" width="3.92578125" style="129" customWidth="1"/>
    <col min="3589" max="3589" width="4.2109375" style="129" customWidth="1"/>
    <col min="3590" max="3590" width="4.0703125" style="129" customWidth="1"/>
    <col min="3591" max="3591" width="4" style="129" customWidth="1"/>
    <col min="3592" max="3592" width="16.42578125" style="129" customWidth="1"/>
    <col min="3593" max="3593" width="5.5703125" style="129" customWidth="1"/>
    <col min="3594" max="3594" width="8.7109375" style="129" customWidth="1"/>
    <col min="3595" max="3595" width="5.42578125" style="129" customWidth="1"/>
    <col min="3596" max="3596" width="4.42578125" style="129" customWidth="1"/>
    <col min="3597" max="3597" width="4.2109375" style="129" customWidth="1"/>
    <col min="3598" max="3598" width="3.0703125" style="129" customWidth="1"/>
    <col min="3599" max="3599" width="4.5703125" style="129" customWidth="1"/>
    <col min="3600" max="3600" width="4.42578125" style="129" customWidth="1"/>
    <col min="3601" max="3601" width="4" style="129" customWidth="1"/>
    <col min="3602" max="3602" width="3" style="129" customWidth="1"/>
    <col min="3603" max="3603" width="3.92578125" style="129" customWidth="1"/>
    <col min="3604" max="3604" width="4.42578125" style="129" customWidth="1"/>
    <col min="3605" max="3605" width="3.42578125" style="129" customWidth="1"/>
    <col min="3606" max="3606" width="4.92578125" style="129" customWidth="1"/>
    <col min="3607" max="3607" width="10.5703125" style="129" customWidth="1"/>
    <col min="3608" max="3608" width="7.0703125" style="129" customWidth="1"/>
    <col min="3609" max="3609" width="8.0703125" style="129" customWidth="1"/>
    <col min="3610" max="3610" width="7.5703125" style="129" customWidth="1"/>
    <col min="3611" max="3612" width="7.7109375" style="129" customWidth="1"/>
    <col min="3613" max="3613" width="7.0703125" style="129" customWidth="1"/>
    <col min="3614" max="3839" width="9.140625" style="129"/>
    <col min="3840" max="3840" width="4.42578125" style="129" customWidth="1"/>
    <col min="3841" max="3841" width="20.5703125" style="129" customWidth="1"/>
    <col min="3842" max="3842" width="12.42578125" style="129" customWidth="1"/>
    <col min="3843" max="3843" width="12.5703125" style="129" customWidth="1"/>
    <col min="3844" max="3844" width="3.92578125" style="129" customWidth="1"/>
    <col min="3845" max="3845" width="4.2109375" style="129" customWidth="1"/>
    <col min="3846" max="3846" width="4.0703125" style="129" customWidth="1"/>
    <col min="3847" max="3847" width="4" style="129" customWidth="1"/>
    <col min="3848" max="3848" width="16.42578125" style="129" customWidth="1"/>
    <col min="3849" max="3849" width="5.5703125" style="129" customWidth="1"/>
    <col min="3850" max="3850" width="8.7109375" style="129" customWidth="1"/>
    <col min="3851" max="3851" width="5.42578125" style="129" customWidth="1"/>
    <col min="3852" max="3852" width="4.42578125" style="129" customWidth="1"/>
    <col min="3853" max="3853" width="4.2109375" style="129" customWidth="1"/>
    <col min="3854" max="3854" width="3.0703125" style="129" customWidth="1"/>
    <col min="3855" max="3855" width="4.5703125" style="129" customWidth="1"/>
    <col min="3856" max="3856" width="4.42578125" style="129" customWidth="1"/>
    <col min="3857" max="3857" width="4" style="129" customWidth="1"/>
    <col min="3858" max="3858" width="3" style="129" customWidth="1"/>
    <col min="3859" max="3859" width="3.92578125" style="129" customWidth="1"/>
    <col min="3860" max="3860" width="4.42578125" style="129" customWidth="1"/>
    <col min="3861" max="3861" width="3.42578125" style="129" customWidth="1"/>
    <col min="3862" max="3862" width="4.92578125" style="129" customWidth="1"/>
    <col min="3863" max="3863" width="10.5703125" style="129" customWidth="1"/>
    <col min="3864" max="3864" width="7.0703125" style="129" customWidth="1"/>
    <col min="3865" max="3865" width="8.0703125" style="129" customWidth="1"/>
    <col min="3866" max="3866" width="7.5703125" style="129" customWidth="1"/>
    <col min="3867" max="3868" width="7.7109375" style="129" customWidth="1"/>
    <col min="3869" max="3869" width="7.0703125" style="129" customWidth="1"/>
    <col min="3870" max="4095" width="9.140625" style="129"/>
    <col min="4096" max="4096" width="4.42578125" style="129" customWidth="1"/>
    <col min="4097" max="4097" width="20.5703125" style="129" customWidth="1"/>
    <col min="4098" max="4098" width="12.42578125" style="129" customWidth="1"/>
    <col min="4099" max="4099" width="12.5703125" style="129" customWidth="1"/>
    <col min="4100" max="4100" width="3.92578125" style="129" customWidth="1"/>
    <col min="4101" max="4101" width="4.2109375" style="129" customWidth="1"/>
    <col min="4102" max="4102" width="4.0703125" style="129" customWidth="1"/>
    <col min="4103" max="4103" width="4" style="129" customWidth="1"/>
    <col min="4104" max="4104" width="16.42578125" style="129" customWidth="1"/>
    <col min="4105" max="4105" width="5.5703125" style="129" customWidth="1"/>
    <col min="4106" max="4106" width="8.7109375" style="129" customWidth="1"/>
    <col min="4107" max="4107" width="5.42578125" style="129" customWidth="1"/>
    <col min="4108" max="4108" width="4.42578125" style="129" customWidth="1"/>
    <col min="4109" max="4109" width="4.2109375" style="129" customWidth="1"/>
    <col min="4110" max="4110" width="3.0703125" style="129" customWidth="1"/>
    <col min="4111" max="4111" width="4.5703125" style="129" customWidth="1"/>
    <col min="4112" max="4112" width="4.42578125" style="129" customWidth="1"/>
    <col min="4113" max="4113" width="4" style="129" customWidth="1"/>
    <col min="4114" max="4114" width="3" style="129" customWidth="1"/>
    <col min="4115" max="4115" width="3.92578125" style="129" customWidth="1"/>
    <col min="4116" max="4116" width="4.42578125" style="129" customWidth="1"/>
    <col min="4117" max="4117" width="3.42578125" style="129" customWidth="1"/>
    <col min="4118" max="4118" width="4.92578125" style="129" customWidth="1"/>
    <col min="4119" max="4119" width="10.5703125" style="129" customWidth="1"/>
    <col min="4120" max="4120" width="7.0703125" style="129" customWidth="1"/>
    <col min="4121" max="4121" width="8.0703125" style="129" customWidth="1"/>
    <col min="4122" max="4122" width="7.5703125" style="129" customWidth="1"/>
    <col min="4123" max="4124" width="7.7109375" style="129" customWidth="1"/>
    <col min="4125" max="4125" width="7.0703125" style="129" customWidth="1"/>
    <col min="4126" max="4351" width="9.140625" style="129"/>
    <col min="4352" max="4352" width="4.42578125" style="129" customWidth="1"/>
    <col min="4353" max="4353" width="20.5703125" style="129" customWidth="1"/>
    <col min="4354" max="4354" width="12.42578125" style="129" customWidth="1"/>
    <col min="4355" max="4355" width="12.5703125" style="129" customWidth="1"/>
    <col min="4356" max="4356" width="3.92578125" style="129" customWidth="1"/>
    <col min="4357" max="4357" width="4.2109375" style="129" customWidth="1"/>
    <col min="4358" max="4358" width="4.0703125" style="129" customWidth="1"/>
    <col min="4359" max="4359" width="4" style="129" customWidth="1"/>
    <col min="4360" max="4360" width="16.42578125" style="129" customWidth="1"/>
    <col min="4361" max="4361" width="5.5703125" style="129" customWidth="1"/>
    <col min="4362" max="4362" width="8.7109375" style="129" customWidth="1"/>
    <col min="4363" max="4363" width="5.42578125" style="129" customWidth="1"/>
    <col min="4364" max="4364" width="4.42578125" style="129" customWidth="1"/>
    <col min="4365" max="4365" width="4.2109375" style="129" customWidth="1"/>
    <col min="4366" max="4366" width="3.0703125" style="129" customWidth="1"/>
    <col min="4367" max="4367" width="4.5703125" style="129" customWidth="1"/>
    <col min="4368" max="4368" width="4.42578125" style="129" customWidth="1"/>
    <col min="4369" max="4369" width="4" style="129" customWidth="1"/>
    <col min="4370" max="4370" width="3" style="129" customWidth="1"/>
    <col min="4371" max="4371" width="3.92578125" style="129" customWidth="1"/>
    <col min="4372" max="4372" width="4.42578125" style="129" customWidth="1"/>
    <col min="4373" max="4373" width="3.42578125" style="129" customWidth="1"/>
    <col min="4374" max="4374" width="4.92578125" style="129" customWidth="1"/>
    <col min="4375" max="4375" width="10.5703125" style="129" customWidth="1"/>
    <col min="4376" max="4376" width="7.0703125" style="129" customWidth="1"/>
    <col min="4377" max="4377" width="8.0703125" style="129" customWidth="1"/>
    <col min="4378" max="4378" width="7.5703125" style="129" customWidth="1"/>
    <col min="4379" max="4380" width="7.7109375" style="129" customWidth="1"/>
    <col min="4381" max="4381" width="7.0703125" style="129" customWidth="1"/>
    <col min="4382" max="4607" width="9.140625" style="129"/>
    <col min="4608" max="4608" width="4.42578125" style="129" customWidth="1"/>
    <col min="4609" max="4609" width="20.5703125" style="129" customWidth="1"/>
    <col min="4610" max="4610" width="12.42578125" style="129" customWidth="1"/>
    <col min="4611" max="4611" width="12.5703125" style="129" customWidth="1"/>
    <col min="4612" max="4612" width="3.92578125" style="129" customWidth="1"/>
    <col min="4613" max="4613" width="4.2109375" style="129" customWidth="1"/>
    <col min="4614" max="4614" width="4.0703125" style="129" customWidth="1"/>
    <col min="4615" max="4615" width="4" style="129" customWidth="1"/>
    <col min="4616" max="4616" width="16.42578125" style="129" customWidth="1"/>
    <col min="4617" max="4617" width="5.5703125" style="129" customWidth="1"/>
    <col min="4618" max="4618" width="8.7109375" style="129" customWidth="1"/>
    <col min="4619" max="4619" width="5.42578125" style="129" customWidth="1"/>
    <col min="4620" max="4620" width="4.42578125" style="129" customWidth="1"/>
    <col min="4621" max="4621" width="4.2109375" style="129" customWidth="1"/>
    <col min="4622" max="4622" width="3.0703125" style="129" customWidth="1"/>
    <col min="4623" max="4623" width="4.5703125" style="129" customWidth="1"/>
    <col min="4624" max="4624" width="4.42578125" style="129" customWidth="1"/>
    <col min="4625" max="4625" width="4" style="129" customWidth="1"/>
    <col min="4626" max="4626" width="3" style="129" customWidth="1"/>
    <col min="4627" max="4627" width="3.92578125" style="129" customWidth="1"/>
    <col min="4628" max="4628" width="4.42578125" style="129" customWidth="1"/>
    <col min="4629" max="4629" width="3.42578125" style="129" customWidth="1"/>
    <col min="4630" max="4630" width="4.92578125" style="129" customWidth="1"/>
    <col min="4631" max="4631" width="10.5703125" style="129" customWidth="1"/>
    <col min="4632" max="4632" width="7.0703125" style="129" customWidth="1"/>
    <col min="4633" max="4633" width="8.0703125" style="129" customWidth="1"/>
    <col min="4634" max="4634" width="7.5703125" style="129" customWidth="1"/>
    <col min="4635" max="4636" width="7.7109375" style="129" customWidth="1"/>
    <col min="4637" max="4637" width="7.0703125" style="129" customWidth="1"/>
    <col min="4638" max="4863" width="9.140625" style="129"/>
    <col min="4864" max="4864" width="4.42578125" style="129" customWidth="1"/>
    <col min="4865" max="4865" width="20.5703125" style="129" customWidth="1"/>
    <col min="4866" max="4866" width="12.42578125" style="129" customWidth="1"/>
    <col min="4867" max="4867" width="12.5703125" style="129" customWidth="1"/>
    <col min="4868" max="4868" width="3.92578125" style="129" customWidth="1"/>
    <col min="4869" max="4869" width="4.2109375" style="129" customWidth="1"/>
    <col min="4870" max="4870" width="4.0703125" style="129" customWidth="1"/>
    <col min="4871" max="4871" width="4" style="129" customWidth="1"/>
    <col min="4872" max="4872" width="16.42578125" style="129" customWidth="1"/>
    <col min="4873" max="4873" width="5.5703125" style="129" customWidth="1"/>
    <col min="4874" max="4874" width="8.7109375" style="129" customWidth="1"/>
    <col min="4875" max="4875" width="5.42578125" style="129" customWidth="1"/>
    <col min="4876" max="4876" width="4.42578125" style="129" customWidth="1"/>
    <col min="4877" max="4877" width="4.2109375" style="129" customWidth="1"/>
    <col min="4878" max="4878" width="3.0703125" style="129" customWidth="1"/>
    <col min="4879" max="4879" width="4.5703125" style="129" customWidth="1"/>
    <col min="4880" max="4880" width="4.42578125" style="129" customWidth="1"/>
    <col min="4881" max="4881" width="4" style="129" customWidth="1"/>
    <col min="4882" max="4882" width="3" style="129" customWidth="1"/>
    <col min="4883" max="4883" width="3.92578125" style="129" customWidth="1"/>
    <col min="4884" max="4884" width="4.42578125" style="129" customWidth="1"/>
    <col min="4885" max="4885" width="3.42578125" style="129" customWidth="1"/>
    <col min="4886" max="4886" width="4.92578125" style="129" customWidth="1"/>
    <col min="4887" max="4887" width="10.5703125" style="129" customWidth="1"/>
    <col min="4888" max="4888" width="7.0703125" style="129" customWidth="1"/>
    <col min="4889" max="4889" width="8.0703125" style="129" customWidth="1"/>
    <col min="4890" max="4890" width="7.5703125" style="129" customWidth="1"/>
    <col min="4891" max="4892" width="7.7109375" style="129" customWidth="1"/>
    <col min="4893" max="4893" width="7.0703125" style="129" customWidth="1"/>
    <col min="4894" max="5119" width="9.140625" style="129"/>
    <col min="5120" max="5120" width="4.42578125" style="129" customWidth="1"/>
    <col min="5121" max="5121" width="20.5703125" style="129" customWidth="1"/>
    <col min="5122" max="5122" width="12.42578125" style="129" customWidth="1"/>
    <col min="5123" max="5123" width="12.5703125" style="129" customWidth="1"/>
    <col min="5124" max="5124" width="3.92578125" style="129" customWidth="1"/>
    <col min="5125" max="5125" width="4.2109375" style="129" customWidth="1"/>
    <col min="5126" max="5126" width="4.0703125" style="129" customWidth="1"/>
    <col min="5127" max="5127" width="4" style="129" customWidth="1"/>
    <col min="5128" max="5128" width="16.42578125" style="129" customWidth="1"/>
    <col min="5129" max="5129" width="5.5703125" style="129" customWidth="1"/>
    <col min="5130" max="5130" width="8.7109375" style="129" customWidth="1"/>
    <col min="5131" max="5131" width="5.42578125" style="129" customWidth="1"/>
    <col min="5132" max="5132" width="4.42578125" style="129" customWidth="1"/>
    <col min="5133" max="5133" width="4.2109375" style="129" customWidth="1"/>
    <col min="5134" max="5134" width="3.0703125" style="129" customWidth="1"/>
    <col min="5135" max="5135" width="4.5703125" style="129" customWidth="1"/>
    <col min="5136" max="5136" width="4.42578125" style="129" customWidth="1"/>
    <col min="5137" max="5137" width="4" style="129" customWidth="1"/>
    <col min="5138" max="5138" width="3" style="129" customWidth="1"/>
    <col min="5139" max="5139" width="3.92578125" style="129" customWidth="1"/>
    <col min="5140" max="5140" width="4.42578125" style="129" customWidth="1"/>
    <col min="5141" max="5141" width="3.42578125" style="129" customWidth="1"/>
    <col min="5142" max="5142" width="4.92578125" style="129" customWidth="1"/>
    <col min="5143" max="5143" width="10.5703125" style="129" customWidth="1"/>
    <col min="5144" max="5144" width="7.0703125" style="129" customWidth="1"/>
    <col min="5145" max="5145" width="8.0703125" style="129" customWidth="1"/>
    <col min="5146" max="5146" width="7.5703125" style="129" customWidth="1"/>
    <col min="5147" max="5148" width="7.7109375" style="129" customWidth="1"/>
    <col min="5149" max="5149" width="7.0703125" style="129" customWidth="1"/>
    <col min="5150" max="5375" width="9.140625" style="129"/>
    <col min="5376" max="5376" width="4.42578125" style="129" customWidth="1"/>
    <col min="5377" max="5377" width="20.5703125" style="129" customWidth="1"/>
    <col min="5378" max="5378" width="12.42578125" style="129" customWidth="1"/>
    <col min="5379" max="5379" width="12.5703125" style="129" customWidth="1"/>
    <col min="5380" max="5380" width="3.92578125" style="129" customWidth="1"/>
    <col min="5381" max="5381" width="4.2109375" style="129" customWidth="1"/>
    <col min="5382" max="5382" width="4.0703125" style="129" customWidth="1"/>
    <col min="5383" max="5383" width="4" style="129" customWidth="1"/>
    <col min="5384" max="5384" width="16.42578125" style="129" customWidth="1"/>
    <col min="5385" max="5385" width="5.5703125" style="129" customWidth="1"/>
    <col min="5386" max="5386" width="8.7109375" style="129" customWidth="1"/>
    <col min="5387" max="5387" width="5.42578125" style="129" customWidth="1"/>
    <col min="5388" max="5388" width="4.42578125" style="129" customWidth="1"/>
    <col min="5389" max="5389" width="4.2109375" style="129" customWidth="1"/>
    <col min="5390" max="5390" width="3.0703125" style="129" customWidth="1"/>
    <col min="5391" max="5391" width="4.5703125" style="129" customWidth="1"/>
    <col min="5392" max="5392" width="4.42578125" style="129" customWidth="1"/>
    <col min="5393" max="5393" width="4" style="129" customWidth="1"/>
    <col min="5394" max="5394" width="3" style="129" customWidth="1"/>
    <col min="5395" max="5395" width="3.92578125" style="129" customWidth="1"/>
    <col min="5396" max="5396" width="4.42578125" style="129" customWidth="1"/>
    <col min="5397" max="5397" width="3.42578125" style="129" customWidth="1"/>
    <col min="5398" max="5398" width="4.92578125" style="129" customWidth="1"/>
    <col min="5399" max="5399" width="10.5703125" style="129" customWidth="1"/>
    <col min="5400" max="5400" width="7.0703125" style="129" customWidth="1"/>
    <col min="5401" max="5401" width="8.0703125" style="129" customWidth="1"/>
    <col min="5402" max="5402" width="7.5703125" style="129" customWidth="1"/>
    <col min="5403" max="5404" width="7.7109375" style="129" customWidth="1"/>
    <col min="5405" max="5405" width="7.0703125" style="129" customWidth="1"/>
    <col min="5406" max="5631" width="9.140625" style="129"/>
    <col min="5632" max="5632" width="4.42578125" style="129" customWidth="1"/>
    <col min="5633" max="5633" width="20.5703125" style="129" customWidth="1"/>
    <col min="5634" max="5634" width="12.42578125" style="129" customWidth="1"/>
    <col min="5635" max="5635" width="12.5703125" style="129" customWidth="1"/>
    <col min="5636" max="5636" width="3.92578125" style="129" customWidth="1"/>
    <col min="5637" max="5637" width="4.2109375" style="129" customWidth="1"/>
    <col min="5638" max="5638" width="4.0703125" style="129" customWidth="1"/>
    <col min="5639" max="5639" width="4" style="129" customWidth="1"/>
    <col min="5640" max="5640" width="16.42578125" style="129" customWidth="1"/>
    <col min="5641" max="5641" width="5.5703125" style="129" customWidth="1"/>
    <col min="5642" max="5642" width="8.7109375" style="129" customWidth="1"/>
    <col min="5643" max="5643" width="5.42578125" style="129" customWidth="1"/>
    <col min="5644" max="5644" width="4.42578125" style="129" customWidth="1"/>
    <col min="5645" max="5645" width="4.2109375" style="129" customWidth="1"/>
    <col min="5646" max="5646" width="3.0703125" style="129" customWidth="1"/>
    <col min="5647" max="5647" width="4.5703125" style="129" customWidth="1"/>
    <col min="5648" max="5648" width="4.42578125" style="129" customWidth="1"/>
    <col min="5649" max="5649" width="4" style="129" customWidth="1"/>
    <col min="5650" max="5650" width="3" style="129" customWidth="1"/>
    <col min="5651" max="5651" width="3.92578125" style="129" customWidth="1"/>
    <col min="5652" max="5652" width="4.42578125" style="129" customWidth="1"/>
    <col min="5653" max="5653" width="3.42578125" style="129" customWidth="1"/>
    <col min="5654" max="5654" width="4.92578125" style="129" customWidth="1"/>
    <col min="5655" max="5655" width="10.5703125" style="129" customWidth="1"/>
    <col min="5656" max="5656" width="7.0703125" style="129" customWidth="1"/>
    <col min="5657" max="5657" width="8.0703125" style="129" customWidth="1"/>
    <col min="5658" max="5658" width="7.5703125" style="129" customWidth="1"/>
    <col min="5659" max="5660" width="7.7109375" style="129" customWidth="1"/>
    <col min="5661" max="5661" width="7.0703125" style="129" customWidth="1"/>
    <col min="5662" max="5887" width="9.140625" style="129"/>
    <col min="5888" max="5888" width="4.42578125" style="129" customWidth="1"/>
    <col min="5889" max="5889" width="20.5703125" style="129" customWidth="1"/>
    <col min="5890" max="5890" width="12.42578125" style="129" customWidth="1"/>
    <col min="5891" max="5891" width="12.5703125" style="129" customWidth="1"/>
    <col min="5892" max="5892" width="3.92578125" style="129" customWidth="1"/>
    <col min="5893" max="5893" width="4.2109375" style="129" customWidth="1"/>
    <col min="5894" max="5894" width="4.0703125" style="129" customWidth="1"/>
    <col min="5895" max="5895" width="4" style="129" customWidth="1"/>
    <col min="5896" max="5896" width="16.42578125" style="129" customWidth="1"/>
    <col min="5897" max="5897" width="5.5703125" style="129" customWidth="1"/>
    <col min="5898" max="5898" width="8.7109375" style="129" customWidth="1"/>
    <col min="5899" max="5899" width="5.42578125" style="129" customWidth="1"/>
    <col min="5900" max="5900" width="4.42578125" style="129" customWidth="1"/>
    <col min="5901" max="5901" width="4.2109375" style="129" customWidth="1"/>
    <col min="5902" max="5902" width="3.0703125" style="129" customWidth="1"/>
    <col min="5903" max="5903" width="4.5703125" style="129" customWidth="1"/>
    <col min="5904" max="5904" width="4.42578125" style="129" customWidth="1"/>
    <col min="5905" max="5905" width="4" style="129" customWidth="1"/>
    <col min="5906" max="5906" width="3" style="129" customWidth="1"/>
    <col min="5907" max="5907" width="3.92578125" style="129" customWidth="1"/>
    <col min="5908" max="5908" width="4.42578125" style="129" customWidth="1"/>
    <col min="5909" max="5909" width="3.42578125" style="129" customWidth="1"/>
    <col min="5910" max="5910" width="4.92578125" style="129" customWidth="1"/>
    <col min="5911" max="5911" width="10.5703125" style="129" customWidth="1"/>
    <col min="5912" max="5912" width="7.0703125" style="129" customWidth="1"/>
    <col min="5913" max="5913" width="8.0703125" style="129" customWidth="1"/>
    <col min="5914" max="5914" width="7.5703125" style="129" customWidth="1"/>
    <col min="5915" max="5916" width="7.7109375" style="129" customWidth="1"/>
    <col min="5917" max="5917" width="7.0703125" style="129" customWidth="1"/>
    <col min="5918" max="6143" width="9.140625" style="129"/>
    <col min="6144" max="6144" width="4.42578125" style="129" customWidth="1"/>
    <col min="6145" max="6145" width="20.5703125" style="129" customWidth="1"/>
    <col min="6146" max="6146" width="12.42578125" style="129" customWidth="1"/>
    <col min="6147" max="6147" width="12.5703125" style="129" customWidth="1"/>
    <col min="6148" max="6148" width="3.92578125" style="129" customWidth="1"/>
    <col min="6149" max="6149" width="4.2109375" style="129" customWidth="1"/>
    <col min="6150" max="6150" width="4.0703125" style="129" customWidth="1"/>
    <col min="6151" max="6151" width="4" style="129" customWidth="1"/>
    <col min="6152" max="6152" width="16.42578125" style="129" customWidth="1"/>
    <col min="6153" max="6153" width="5.5703125" style="129" customWidth="1"/>
    <col min="6154" max="6154" width="8.7109375" style="129" customWidth="1"/>
    <col min="6155" max="6155" width="5.42578125" style="129" customWidth="1"/>
    <col min="6156" max="6156" width="4.42578125" style="129" customWidth="1"/>
    <col min="6157" max="6157" width="4.2109375" style="129" customWidth="1"/>
    <col min="6158" max="6158" width="3.0703125" style="129" customWidth="1"/>
    <col min="6159" max="6159" width="4.5703125" style="129" customWidth="1"/>
    <col min="6160" max="6160" width="4.42578125" style="129" customWidth="1"/>
    <col min="6161" max="6161" width="4" style="129" customWidth="1"/>
    <col min="6162" max="6162" width="3" style="129" customWidth="1"/>
    <col min="6163" max="6163" width="3.92578125" style="129" customWidth="1"/>
    <col min="6164" max="6164" width="4.42578125" style="129" customWidth="1"/>
    <col min="6165" max="6165" width="3.42578125" style="129" customWidth="1"/>
    <col min="6166" max="6166" width="4.92578125" style="129" customWidth="1"/>
    <col min="6167" max="6167" width="10.5703125" style="129" customWidth="1"/>
    <col min="6168" max="6168" width="7.0703125" style="129" customWidth="1"/>
    <col min="6169" max="6169" width="8.0703125" style="129" customWidth="1"/>
    <col min="6170" max="6170" width="7.5703125" style="129" customWidth="1"/>
    <col min="6171" max="6172" width="7.7109375" style="129" customWidth="1"/>
    <col min="6173" max="6173" width="7.0703125" style="129" customWidth="1"/>
    <col min="6174" max="6399" width="9.140625" style="129"/>
    <col min="6400" max="6400" width="4.42578125" style="129" customWidth="1"/>
    <col min="6401" max="6401" width="20.5703125" style="129" customWidth="1"/>
    <col min="6402" max="6402" width="12.42578125" style="129" customWidth="1"/>
    <col min="6403" max="6403" width="12.5703125" style="129" customWidth="1"/>
    <col min="6404" max="6404" width="3.92578125" style="129" customWidth="1"/>
    <col min="6405" max="6405" width="4.2109375" style="129" customWidth="1"/>
    <col min="6406" max="6406" width="4.0703125" style="129" customWidth="1"/>
    <col min="6407" max="6407" width="4" style="129" customWidth="1"/>
    <col min="6408" max="6408" width="16.42578125" style="129" customWidth="1"/>
    <col min="6409" max="6409" width="5.5703125" style="129" customWidth="1"/>
    <col min="6410" max="6410" width="8.7109375" style="129" customWidth="1"/>
    <col min="6411" max="6411" width="5.42578125" style="129" customWidth="1"/>
    <col min="6412" max="6412" width="4.42578125" style="129" customWidth="1"/>
    <col min="6413" max="6413" width="4.2109375" style="129" customWidth="1"/>
    <col min="6414" max="6414" width="3.0703125" style="129" customWidth="1"/>
    <col min="6415" max="6415" width="4.5703125" style="129" customWidth="1"/>
    <col min="6416" max="6416" width="4.42578125" style="129" customWidth="1"/>
    <col min="6417" max="6417" width="4" style="129" customWidth="1"/>
    <col min="6418" max="6418" width="3" style="129" customWidth="1"/>
    <col min="6419" max="6419" width="3.92578125" style="129" customWidth="1"/>
    <col min="6420" max="6420" width="4.42578125" style="129" customWidth="1"/>
    <col min="6421" max="6421" width="3.42578125" style="129" customWidth="1"/>
    <col min="6422" max="6422" width="4.92578125" style="129" customWidth="1"/>
    <col min="6423" max="6423" width="10.5703125" style="129" customWidth="1"/>
    <col min="6424" max="6424" width="7.0703125" style="129" customWidth="1"/>
    <col min="6425" max="6425" width="8.0703125" style="129" customWidth="1"/>
    <col min="6426" max="6426" width="7.5703125" style="129" customWidth="1"/>
    <col min="6427" max="6428" width="7.7109375" style="129" customWidth="1"/>
    <col min="6429" max="6429" width="7.0703125" style="129" customWidth="1"/>
    <col min="6430" max="6655" width="9.140625" style="129"/>
    <col min="6656" max="6656" width="4.42578125" style="129" customWidth="1"/>
    <col min="6657" max="6657" width="20.5703125" style="129" customWidth="1"/>
    <col min="6658" max="6658" width="12.42578125" style="129" customWidth="1"/>
    <col min="6659" max="6659" width="12.5703125" style="129" customWidth="1"/>
    <col min="6660" max="6660" width="3.92578125" style="129" customWidth="1"/>
    <col min="6661" max="6661" width="4.2109375" style="129" customWidth="1"/>
    <col min="6662" max="6662" width="4.0703125" style="129" customWidth="1"/>
    <col min="6663" max="6663" width="4" style="129" customWidth="1"/>
    <col min="6664" max="6664" width="16.42578125" style="129" customWidth="1"/>
    <col min="6665" max="6665" width="5.5703125" style="129" customWidth="1"/>
    <col min="6666" max="6666" width="8.7109375" style="129" customWidth="1"/>
    <col min="6667" max="6667" width="5.42578125" style="129" customWidth="1"/>
    <col min="6668" max="6668" width="4.42578125" style="129" customWidth="1"/>
    <col min="6669" max="6669" width="4.2109375" style="129" customWidth="1"/>
    <col min="6670" max="6670" width="3.0703125" style="129" customWidth="1"/>
    <col min="6671" max="6671" width="4.5703125" style="129" customWidth="1"/>
    <col min="6672" max="6672" width="4.42578125" style="129" customWidth="1"/>
    <col min="6673" max="6673" width="4" style="129" customWidth="1"/>
    <col min="6674" max="6674" width="3" style="129" customWidth="1"/>
    <col min="6675" max="6675" width="3.92578125" style="129" customWidth="1"/>
    <col min="6676" max="6676" width="4.42578125" style="129" customWidth="1"/>
    <col min="6677" max="6677" width="3.42578125" style="129" customWidth="1"/>
    <col min="6678" max="6678" width="4.92578125" style="129" customWidth="1"/>
    <col min="6679" max="6679" width="10.5703125" style="129" customWidth="1"/>
    <col min="6680" max="6680" width="7.0703125" style="129" customWidth="1"/>
    <col min="6681" max="6681" width="8.0703125" style="129" customWidth="1"/>
    <col min="6682" max="6682" width="7.5703125" style="129" customWidth="1"/>
    <col min="6683" max="6684" width="7.7109375" style="129" customWidth="1"/>
    <col min="6685" max="6685" width="7.0703125" style="129" customWidth="1"/>
    <col min="6686" max="6911" width="9.140625" style="129"/>
    <col min="6912" max="6912" width="4.42578125" style="129" customWidth="1"/>
    <col min="6913" max="6913" width="20.5703125" style="129" customWidth="1"/>
    <col min="6914" max="6914" width="12.42578125" style="129" customWidth="1"/>
    <col min="6915" max="6915" width="12.5703125" style="129" customWidth="1"/>
    <col min="6916" max="6916" width="3.92578125" style="129" customWidth="1"/>
    <col min="6917" max="6917" width="4.2109375" style="129" customWidth="1"/>
    <col min="6918" max="6918" width="4.0703125" style="129" customWidth="1"/>
    <col min="6919" max="6919" width="4" style="129" customWidth="1"/>
    <col min="6920" max="6920" width="16.42578125" style="129" customWidth="1"/>
    <col min="6921" max="6921" width="5.5703125" style="129" customWidth="1"/>
    <col min="6922" max="6922" width="8.7109375" style="129" customWidth="1"/>
    <col min="6923" max="6923" width="5.42578125" style="129" customWidth="1"/>
    <col min="6924" max="6924" width="4.42578125" style="129" customWidth="1"/>
    <col min="6925" max="6925" width="4.2109375" style="129" customWidth="1"/>
    <col min="6926" max="6926" width="3.0703125" style="129" customWidth="1"/>
    <col min="6927" max="6927" width="4.5703125" style="129" customWidth="1"/>
    <col min="6928" max="6928" width="4.42578125" style="129" customWidth="1"/>
    <col min="6929" max="6929" width="4" style="129" customWidth="1"/>
    <col min="6930" max="6930" width="3" style="129" customWidth="1"/>
    <col min="6931" max="6931" width="3.92578125" style="129" customWidth="1"/>
    <col min="6932" max="6932" width="4.42578125" style="129" customWidth="1"/>
    <col min="6933" max="6933" width="3.42578125" style="129" customWidth="1"/>
    <col min="6934" max="6934" width="4.92578125" style="129" customWidth="1"/>
    <col min="6935" max="6935" width="10.5703125" style="129" customWidth="1"/>
    <col min="6936" max="6936" width="7.0703125" style="129" customWidth="1"/>
    <col min="6937" max="6937" width="8.0703125" style="129" customWidth="1"/>
    <col min="6938" max="6938" width="7.5703125" style="129" customWidth="1"/>
    <col min="6939" max="6940" width="7.7109375" style="129" customWidth="1"/>
    <col min="6941" max="6941" width="7.0703125" style="129" customWidth="1"/>
    <col min="6942" max="7167" width="9.140625" style="129"/>
    <col min="7168" max="7168" width="4.42578125" style="129" customWidth="1"/>
    <col min="7169" max="7169" width="20.5703125" style="129" customWidth="1"/>
    <col min="7170" max="7170" width="12.42578125" style="129" customWidth="1"/>
    <col min="7171" max="7171" width="12.5703125" style="129" customWidth="1"/>
    <col min="7172" max="7172" width="3.92578125" style="129" customWidth="1"/>
    <col min="7173" max="7173" width="4.2109375" style="129" customWidth="1"/>
    <col min="7174" max="7174" width="4.0703125" style="129" customWidth="1"/>
    <col min="7175" max="7175" width="4" style="129" customWidth="1"/>
    <col min="7176" max="7176" width="16.42578125" style="129" customWidth="1"/>
    <col min="7177" max="7177" width="5.5703125" style="129" customWidth="1"/>
    <col min="7178" max="7178" width="8.7109375" style="129" customWidth="1"/>
    <col min="7179" max="7179" width="5.42578125" style="129" customWidth="1"/>
    <col min="7180" max="7180" width="4.42578125" style="129" customWidth="1"/>
    <col min="7181" max="7181" width="4.2109375" style="129" customWidth="1"/>
    <col min="7182" max="7182" width="3.0703125" style="129" customWidth="1"/>
    <col min="7183" max="7183" width="4.5703125" style="129" customWidth="1"/>
    <col min="7184" max="7184" width="4.42578125" style="129" customWidth="1"/>
    <col min="7185" max="7185" width="4" style="129" customWidth="1"/>
    <col min="7186" max="7186" width="3" style="129" customWidth="1"/>
    <col min="7187" max="7187" width="3.92578125" style="129" customWidth="1"/>
    <col min="7188" max="7188" width="4.42578125" style="129" customWidth="1"/>
    <col min="7189" max="7189" width="3.42578125" style="129" customWidth="1"/>
    <col min="7190" max="7190" width="4.92578125" style="129" customWidth="1"/>
    <col min="7191" max="7191" width="10.5703125" style="129" customWidth="1"/>
    <col min="7192" max="7192" width="7.0703125" style="129" customWidth="1"/>
    <col min="7193" max="7193" width="8.0703125" style="129" customWidth="1"/>
    <col min="7194" max="7194" width="7.5703125" style="129" customWidth="1"/>
    <col min="7195" max="7196" width="7.7109375" style="129" customWidth="1"/>
    <col min="7197" max="7197" width="7.0703125" style="129" customWidth="1"/>
    <col min="7198" max="7423" width="9.140625" style="129"/>
    <col min="7424" max="7424" width="4.42578125" style="129" customWidth="1"/>
    <col min="7425" max="7425" width="20.5703125" style="129" customWidth="1"/>
    <col min="7426" max="7426" width="12.42578125" style="129" customWidth="1"/>
    <col min="7427" max="7427" width="12.5703125" style="129" customWidth="1"/>
    <col min="7428" max="7428" width="3.92578125" style="129" customWidth="1"/>
    <col min="7429" max="7429" width="4.2109375" style="129" customWidth="1"/>
    <col min="7430" max="7430" width="4.0703125" style="129" customWidth="1"/>
    <col min="7431" max="7431" width="4" style="129" customWidth="1"/>
    <col min="7432" max="7432" width="16.42578125" style="129" customWidth="1"/>
    <col min="7433" max="7433" width="5.5703125" style="129" customWidth="1"/>
    <col min="7434" max="7434" width="8.7109375" style="129" customWidth="1"/>
    <col min="7435" max="7435" width="5.42578125" style="129" customWidth="1"/>
    <col min="7436" max="7436" width="4.42578125" style="129" customWidth="1"/>
    <col min="7437" max="7437" width="4.2109375" style="129" customWidth="1"/>
    <col min="7438" max="7438" width="3.0703125" style="129" customWidth="1"/>
    <col min="7439" max="7439" width="4.5703125" style="129" customWidth="1"/>
    <col min="7440" max="7440" width="4.42578125" style="129" customWidth="1"/>
    <col min="7441" max="7441" width="4" style="129" customWidth="1"/>
    <col min="7442" max="7442" width="3" style="129" customWidth="1"/>
    <col min="7443" max="7443" width="3.92578125" style="129" customWidth="1"/>
    <col min="7444" max="7444" width="4.42578125" style="129" customWidth="1"/>
    <col min="7445" max="7445" width="3.42578125" style="129" customWidth="1"/>
    <col min="7446" max="7446" width="4.92578125" style="129" customWidth="1"/>
    <col min="7447" max="7447" width="10.5703125" style="129" customWidth="1"/>
    <col min="7448" max="7448" width="7.0703125" style="129" customWidth="1"/>
    <col min="7449" max="7449" width="8.0703125" style="129" customWidth="1"/>
    <col min="7450" max="7450" width="7.5703125" style="129" customWidth="1"/>
    <col min="7451" max="7452" width="7.7109375" style="129" customWidth="1"/>
    <col min="7453" max="7453" width="7.0703125" style="129" customWidth="1"/>
    <col min="7454" max="7679" width="9.140625" style="129"/>
    <col min="7680" max="7680" width="4.42578125" style="129" customWidth="1"/>
    <col min="7681" max="7681" width="20.5703125" style="129" customWidth="1"/>
    <col min="7682" max="7682" width="12.42578125" style="129" customWidth="1"/>
    <col min="7683" max="7683" width="12.5703125" style="129" customWidth="1"/>
    <col min="7684" max="7684" width="3.92578125" style="129" customWidth="1"/>
    <col min="7685" max="7685" width="4.2109375" style="129" customWidth="1"/>
    <col min="7686" max="7686" width="4.0703125" style="129" customWidth="1"/>
    <col min="7687" max="7687" width="4" style="129" customWidth="1"/>
    <col min="7688" max="7688" width="16.42578125" style="129" customWidth="1"/>
    <col min="7689" max="7689" width="5.5703125" style="129" customWidth="1"/>
    <col min="7690" max="7690" width="8.7109375" style="129" customWidth="1"/>
    <col min="7691" max="7691" width="5.42578125" style="129" customWidth="1"/>
    <col min="7692" max="7692" width="4.42578125" style="129" customWidth="1"/>
    <col min="7693" max="7693" width="4.2109375" style="129" customWidth="1"/>
    <col min="7694" max="7694" width="3.0703125" style="129" customWidth="1"/>
    <col min="7695" max="7695" width="4.5703125" style="129" customWidth="1"/>
    <col min="7696" max="7696" width="4.42578125" style="129" customWidth="1"/>
    <col min="7697" max="7697" width="4" style="129" customWidth="1"/>
    <col min="7698" max="7698" width="3" style="129" customWidth="1"/>
    <col min="7699" max="7699" width="3.92578125" style="129" customWidth="1"/>
    <col min="7700" max="7700" width="4.42578125" style="129" customWidth="1"/>
    <col min="7701" max="7701" width="3.42578125" style="129" customWidth="1"/>
    <col min="7702" max="7702" width="4.92578125" style="129" customWidth="1"/>
    <col min="7703" max="7703" width="10.5703125" style="129" customWidth="1"/>
    <col min="7704" max="7704" width="7.0703125" style="129" customWidth="1"/>
    <col min="7705" max="7705" width="8.0703125" style="129" customWidth="1"/>
    <col min="7706" max="7706" width="7.5703125" style="129" customWidth="1"/>
    <col min="7707" max="7708" width="7.7109375" style="129" customWidth="1"/>
    <col min="7709" max="7709" width="7.0703125" style="129" customWidth="1"/>
    <col min="7710" max="7935" width="9.140625" style="129"/>
    <col min="7936" max="7936" width="4.42578125" style="129" customWidth="1"/>
    <col min="7937" max="7937" width="20.5703125" style="129" customWidth="1"/>
    <col min="7938" max="7938" width="12.42578125" style="129" customWidth="1"/>
    <col min="7939" max="7939" width="12.5703125" style="129" customWidth="1"/>
    <col min="7940" max="7940" width="3.92578125" style="129" customWidth="1"/>
    <col min="7941" max="7941" width="4.2109375" style="129" customWidth="1"/>
    <col min="7942" max="7942" width="4.0703125" style="129" customWidth="1"/>
    <col min="7943" max="7943" width="4" style="129" customWidth="1"/>
    <col min="7944" max="7944" width="16.42578125" style="129" customWidth="1"/>
    <col min="7945" max="7945" width="5.5703125" style="129" customWidth="1"/>
    <col min="7946" max="7946" width="8.7109375" style="129" customWidth="1"/>
    <col min="7947" max="7947" width="5.42578125" style="129" customWidth="1"/>
    <col min="7948" max="7948" width="4.42578125" style="129" customWidth="1"/>
    <col min="7949" max="7949" width="4.2109375" style="129" customWidth="1"/>
    <col min="7950" max="7950" width="3.0703125" style="129" customWidth="1"/>
    <col min="7951" max="7951" width="4.5703125" style="129" customWidth="1"/>
    <col min="7952" max="7952" width="4.42578125" style="129" customWidth="1"/>
    <col min="7953" max="7953" width="4" style="129" customWidth="1"/>
    <col min="7954" max="7954" width="3" style="129" customWidth="1"/>
    <col min="7955" max="7955" width="3.92578125" style="129" customWidth="1"/>
    <col min="7956" max="7956" width="4.42578125" style="129" customWidth="1"/>
    <col min="7957" max="7957" width="3.42578125" style="129" customWidth="1"/>
    <col min="7958" max="7958" width="4.92578125" style="129" customWidth="1"/>
    <col min="7959" max="7959" width="10.5703125" style="129" customWidth="1"/>
    <col min="7960" max="7960" width="7.0703125" style="129" customWidth="1"/>
    <col min="7961" max="7961" width="8.0703125" style="129" customWidth="1"/>
    <col min="7962" max="7962" width="7.5703125" style="129" customWidth="1"/>
    <col min="7963" max="7964" width="7.7109375" style="129" customWidth="1"/>
    <col min="7965" max="7965" width="7.0703125" style="129" customWidth="1"/>
    <col min="7966" max="8191" width="9.140625" style="129"/>
    <col min="8192" max="8192" width="4.42578125" style="129" customWidth="1"/>
    <col min="8193" max="8193" width="20.5703125" style="129" customWidth="1"/>
    <col min="8194" max="8194" width="12.42578125" style="129" customWidth="1"/>
    <col min="8195" max="8195" width="12.5703125" style="129" customWidth="1"/>
    <col min="8196" max="8196" width="3.92578125" style="129" customWidth="1"/>
    <col min="8197" max="8197" width="4.2109375" style="129" customWidth="1"/>
    <col min="8198" max="8198" width="4.0703125" style="129" customWidth="1"/>
    <col min="8199" max="8199" width="4" style="129" customWidth="1"/>
    <col min="8200" max="8200" width="16.42578125" style="129" customWidth="1"/>
    <col min="8201" max="8201" width="5.5703125" style="129" customWidth="1"/>
    <col min="8202" max="8202" width="8.7109375" style="129" customWidth="1"/>
    <col min="8203" max="8203" width="5.42578125" style="129" customWidth="1"/>
    <col min="8204" max="8204" width="4.42578125" style="129" customWidth="1"/>
    <col min="8205" max="8205" width="4.2109375" style="129" customWidth="1"/>
    <col min="8206" max="8206" width="3.0703125" style="129" customWidth="1"/>
    <col min="8207" max="8207" width="4.5703125" style="129" customWidth="1"/>
    <col min="8208" max="8208" width="4.42578125" style="129" customWidth="1"/>
    <col min="8209" max="8209" width="4" style="129" customWidth="1"/>
    <col min="8210" max="8210" width="3" style="129" customWidth="1"/>
    <col min="8211" max="8211" width="3.92578125" style="129" customWidth="1"/>
    <col min="8212" max="8212" width="4.42578125" style="129" customWidth="1"/>
    <col min="8213" max="8213" width="3.42578125" style="129" customWidth="1"/>
    <col min="8214" max="8214" width="4.92578125" style="129" customWidth="1"/>
    <col min="8215" max="8215" width="10.5703125" style="129" customWidth="1"/>
    <col min="8216" max="8216" width="7.0703125" style="129" customWidth="1"/>
    <col min="8217" max="8217" width="8.0703125" style="129" customWidth="1"/>
    <col min="8218" max="8218" width="7.5703125" style="129" customWidth="1"/>
    <col min="8219" max="8220" width="7.7109375" style="129" customWidth="1"/>
    <col min="8221" max="8221" width="7.0703125" style="129" customWidth="1"/>
    <col min="8222" max="8447" width="9.140625" style="129"/>
    <col min="8448" max="8448" width="4.42578125" style="129" customWidth="1"/>
    <col min="8449" max="8449" width="20.5703125" style="129" customWidth="1"/>
    <col min="8450" max="8450" width="12.42578125" style="129" customWidth="1"/>
    <col min="8451" max="8451" width="12.5703125" style="129" customWidth="1"/>
    <col min="8452" max="8452" width="3.92578125" style="129" customWidth="1"/>
    <col min="8453" max="8453" width="4.2109375" style="129" customWidth="1"/>
    <col min="8454" max="8454" width="4.0703125" style="129" customWidth="1"/>
    <col min="8455" max="8455" width="4" style="129" customWidth="1"/>
    <col min="8456" max="8456" width="16.42578125" style="129" customWidth="1"/>
    <col min="8457" max="8457" width="5.5703125" style="129" customWidth="1"/>
    <col min="8458" max="8458" width="8.7109375" style="129" customWidth="1"/>
    <col min="8459" max="8459" width="5.42578125" style="129" customWidth="1"/>
    <col min="8460" max="8460" width="4.42578125" style="129" customWidth="1"/>
    <col min="8461" max="8461" width="4.2109375" style="129" customWidth="1"/>
    <col min="8462" max="8462" width="3.0703125" style="129" customWidth="1"/>
    <col min="8463" max="8463" width="4.5703125" style="129" customWidth="1"/>
    <col min="8464" max="8464" width="4.42578125" style="129" customWidth="1"/>
    <col min="8465" max="8465" width="4" style="129" customWidth="1"/>
    <col min="8466" max="8466" width="3" style="129" customWidth="1"/>
    <col min="8467" max="8467" width="3.92578125" style="129" customWidth="1"/>
    <col min="8468" max="8468" width="4.42578125" style="129" customWidth="1"/>
    <col min="8469" max="8469" width="3.42578125" style="129" customWidth="1"/>
    <col min="8470" max="8470" width="4.92578125" style="129" customWidth="1"/>
    <col min="8471" max="8471" width="10.5703125" style="129" customWidth="1"/>
    <col min="8472" max="8472" width="7.0703125" style="129" customWidth="1"/>
    <col min="8473" max="8473" width="8.0703125" style="129" customWidth="1"/>
    <col min="8474" max="8474" width="7.5703125" style="129" customWidth="1"/>
    <col min="8475" max="8476" width="7.7109375" style="129" customWidth="1"/>
    <col min="8477" max="8477" width="7.0703125" style="129" customWidth="1"/>
    <col min="8478" max="8703" width="9.140625" style="129"/>
    <col min="8704" max="8704" width="4.42578125" style="129" customWidth="1"/>
    <col min="8705" max="8705" width="20.5703125" style="129" customWidth="1"/>
    <col min="8706" max="8706" width="12.42578125" style="129" customWidth="1"/>
    <col min="8707" max="8707" width="12.5703125" style="129" customWidth="1"/>
    <col min="8708" max="8708" width="3.92578125" style="129" customWidth="1"/>
    <col min="8709" max="8709" width="4.2109375" style="129" customWidth="1"/>
    <col min="8710" max="8710" width="4.0703125" style="129" customWidth="1"/>
    <col min="8711" max="8711" width="4" style="129" customWidth="1"/>
    <col min="8712" max="8712" width="16.42578125" style="129" customWidth="1"/>
    <col min="8713" max="8713" width="5.5703125" style="129" customWidth="1"/>
    <col min="8714" max="8714" width="8.7109375" style="129" customWidth="1"/>
    <col min="8715" max="8715" width="5.42578125" style="129" customWidth="1"/>
    <col min="8716" max="8716" width="4.42578125" style="129" customWidth="1"/>
    <col min="8717" max="8717" width="4.2109375" style="129" customWidth="1"/>
    <col min="8718" max="8718" width="3.0703125" style="129" customWidth="1"/>
    <col min="8719" max="8719" width="4.5703125" style="129" customWidth="1"/>
    <col min="8720" max="8720" width="4.42578125" style="129" customWidth="1"/>
    <col min="8721" max="8721" width="4" style="129" customWidth="1"/>
    <col min="8722" max="8722" width="3" style="129" customWidth="1"/>
    <col min="8723" max="8723" width="3.92578125" style="129" customWidth="1"/>
    <col min="8724" max="8724" width="4.42578125" style="129" customWidth="1"/>
    <col min="8725" max="8725" width="3.42578125" style="129" customWidth="1"/>
    <col min="8726" max="8726" width="4.92578125" style="129" customWidth="1"/>
    <col min="8727" max="8727" width="10.5703125" style="129" customWidth="1"/>
    <col min="8728" max="8728" width="7.0703125" style="129" customWidth="1"/>
    <col min="8729" max="8729" width="8.0703125" style="129" customWidth="1"/>
    <col min="8730" max="8730" width="7.5703125" style="129" customWidth="1"/>
    <col min="8731" max="8732" width="7.7109375" style="129" customWidth="1"/>
    <col min="8733" max="8733" width="7.0703125" style="129" customWidth="1"/>
    <col min="8734" max="8959" width="9.140625" style="129"/>
    <col min="8960" max="8960" width="4.42578125" style="129" customWidth="1"/>
    <col min="8961" max="8961" width="20.5703125" style="129" customWidth="1"/>
    <col min="8962" max="8962" width="12.42578125" style="129" customWidth="1"/>
    <col min="8963" max="8963" width="12.5703125" style="129" customWidth="1"/>
    <col min="8964" max="8964" width="3.92578125" style="129" customWidth="1"/>
    <col min="8965" max="8965" width="4.2109375" style="129" customWidth="1"/>
    <col min="8966" max="8966" width="4.0703125" style="129" customWidth="1"/>
    <col min="8967" max="8967" width="4" style="129" customWidth="1"/>
    <col min="8968" max="8968" width="16.42578125" style="129" customWidth="1"/>
    <col min="8969" max="8969" width="5.5703125" style="129" customWidth="1"/>
    <col min="8970" max="8970" width="8.7109375" style="129" customWidth="1"/>
    <col min="8971" max="8971" width="5.42578125" style="129" customWidth="1"/>
    <col min="8972" max="8972" width="4.42578125" style="129" customWidth="1"/>
    <col min="8973" max="8973" width="4.2109375" style="129" customWidth="1"/>
    <col min="8974" max="8974" width="3.0703125" style="129" customWidth="1"/>
    <col min="8975" max="8975" width="4.5703125" style="129" customWidth="1"/>
    <col min="8976" max="8976" width="4.42578125" style="129" customWidth="1"/>
    <col min="8977" max="8977" width="4" style="129" customWidth="1"/>
    <col min="8978" max="8978" width="3" style="129" customWidth="1"/>
    <col min="8979" max="8979" width="3.92578125" style="129" customWidth="1"/>
    <col min="8980" max="8980" width="4.42578125" style="129" customWidth="1"/>
    <col min="8981" max="8981" width="3.42578125" style="129" customWidth="1"/>
    <col min="8982" max="8982" width="4.92578125" style="129" customWidth="1"/>
    <col min="8983" max="8983" width="10.5703125" style="129" customWidth="1"/>
    <col min="8984" max="8984" width="7.0703125" style="129" customWidth="1"/>
    <col min="8985" max="8985" width="8.0703125" style="129" customWidth="1"/>
    <col min="8986" max="8986" width="7.5703125" style="129" customWidth="1"/>
    <col min="8987" max="8988" width="7.7109375" style="129" customWidth="1"/>
    <col min="8989" max="8989" width="7.0703125" style="129" customWidth="1"/>
    <col min="8990" max="9215" width="9.140625" style="129"/>
    <col min="9216" max="9216" width="4.42578125" style="129" customWidth="1"/>
    <col min="9217" max="9217" width="20.5703125" style="129" customWidth="1"/>
    <col min="9218" max="9218" width="12.42578125" style="129" customWidth="1"/>
    <col min="9219" max="9219" width="12.5703125" style="129" customWidth="1"/>
    <col min="9220" max="9220" width="3.92578125" style="129" customWidth="1"/>
    <col min="9221" max="9221" width="4.2109375" style="129" customWidth="1"/>
    <col min="9222" max="9222" width="4.0703125" style="129" customWidth="1"/>
    <col min="9223" max="9223" width="4" style="129" customWidth="1"/>
    <col min="9224" max="9224" width="16.42578125" style="129" customWidth="1"/>
    <col min="9225" max="9225" width="5.5703125" style="129" customWidth="1"/>
    <col min="9226" max="9226" width="8.7109375" style="129" customWidth="1"/>
    <col min="9227" max="9227" width="5.42578125" style="129" customWidth="1"/>
    <col min="9228" max="9228" width="4.42578125" style="129" customWidth="1"/>
    <col min="9229" max="9229" width="4.2109375" style="129" customWidth="1"/>
    <col min="9230" max="9230" width="3.0703125" style="129" customWidth="1"/>
    <col min="9231" max="9231" width="4.5703125" style="129" customWidth="1"/>
    <col min="9232" max="9232" width="4.42578125" style="129" customWidth="1"/>
    <col min="9233" max="9233" width="4" style="129" customWidth="1"/>
    <col min="9234" max="9234" width="3" style="129" customWidth="1"/>
    <col min="9235" max="9235" width="3.92578125" style="129" customWidth="1"/>
    <col min="9236" max="9236" width="4.42578125" style="129" customWidth="1"/>
    <col min="9237" max="9237" width="3.42578125" style="129" customWidth="1"/>
    <col min="9238" max="9238" width="4.92578125" style="129" customWidth="1"/>
    <col min="9239" max="9239" width="10.5703125" style="129" customWidth="1"/>
    <col min="9240" max="9240" width="7.0703125" style="129" customWidth="1"/>
    <col min="9241" max="9241" width="8.0703125" style="129" customWidth="1"/>
    <col min="9242" max="9242" width="7.5703125" style="129" customWidth="1"/>
    <col min="9243" max="9244" width="7.7109375" style="129" customWidth="1"/>
    <col min="9245" max="9245" width="7.0703125" style="129" customWidth="1"/>
    <col min="9246" max="9471" width="9.140625" style="129"/>
    <col min="9472" max="9472" width="4.42578125" style="129" customWidth="1"/>
    <col min="9473" max="9473" width="20.5703125" style="129" customWidth="1"/>
    <col min="9474" max="9474" width="12.42578125" style="129" customWidth="1"/>
    <col min="9475" max="9475" width="12.5703125" style="129" customWidth="1"/>
    <col min="9476" max="9476" width="3.92578125" style="129" customWidth="1"/>
    <col min="9477" max="9477" width="4.2109375" style="129" customWidth="1"/>
    <col min="9478" max="9478" width="4.0703125" style="129" customWidth="1"/>
    <col min="9479" max="9479" width="4" style="129" customWidth="1"/>
    <col min="9480" max="9480" width="16.42578125" style="129" customWidth="1"/>
    <col min="9481" max="9481" width="5.5703125" style="129" customWidth="1"/>
    <col min="9482" max="9482" width="8.7109375" style="129" customWidth="1"/>
    <col min="9483" max="9483" width="5.42578125" style="129" customWidth="1"/>
    <col min="9484" max="9484" width="4.42578125" style="129" customWidth="1"/>
    <col min="9485" max="9485" width="4.2109375" style="129" customWidth="1"/>
    <col min="9486" max="9486" width="3.0703125" style="129" customWidth="1"/>
    <col min="9487" max="9487" width="4.5703125" style="129" customWidth="1"/>
    <col min="9488" max="9488" width="4.42578125" style="129" customWidth="1"/>
    <col min="9489" max="9489" width="4" style="129" customWidth="1"/>
    <col min="9490" max="9490" width="3" style="129" customWidth="1"/>
    <col min="9491" max="9491" width="3.92578125" style="129" customWidth="1"/>
    <col min="9492" max="9492" width="4.42578125" style="129" customWidth="1"/>
    <col min="9493" max="9493" width="3.42578125" style="129" customWidth="1"/>
    <col min="9494" max="9494" width="4.92578125" style="129" customWidth="1"/>
    <col min="9495" max="9495" width="10.5703125" style="129" customWidth="1"/>
    <col min="9496" max="9496" width="7.0703125" style="129" customWidth="1"/>
    <col min="9497" max="9497" width="8.0703125" style="129" customWidth="1"/>
    <col min="9498" max="9498" width="7.5703125" style="129" customWidth="1"/>
    <col min="9499" max="9500" width="7.7109375" style="129" customWidth="1"/>
    <col min="9501" max="9501" width="7.0703125" style="129" customWidth="1"/>
    <col min="9502" max="9727" width="9.140625" style="129"/>
    <col min="9728" max="9728" width="4.42578125" style="129" customWidth="1"/>
    <col min="9729" max="9729" width="20.5703125" style="129" customWidth="1"/>
    <col min="9730" max="9730" width="12.42578125" style="129" customWidth="1"/>
    <col min="9731" max="9731" width="12.5703125" style="129" customWidth="1"/>
    <col min="9732" max="9732" width="3.92578125" style="129" customWidth="1"/>
    <col min="9733" max="9733" width="4.2109375" style="129" customWidth="1"/>
    <col min="9734" max="9734" width="4.0703125" style="129" customWidth="1"/>
    <col min="9735" max="9735" width="4" style="129" customWidth="1"/>
    <col min="9736" max="9736" width="16.42578125" style="129" customWidth="1"/>
    <col min="9737" max="9737" width="5.5703125" style="129" customWidth="1"/>
    <col min="9738" max="9738" width="8.7109375" style="129" customWidth="1"/>
    <col min="9739" max="9739" width="5.42578125" style="129" customWidth="1"/>
    <col min="9740" max="9740" width="4.42578125" style="129" customWidth="1"/>
    <col min="9741" max="9741" width="4.2109375" style="129" customWidth="1"/>
    <col min="9742" max="9742" width="3.0703125" style="129" customWidth="1"/>
    <col min="9743" max="9743" width="4.5703125" style="129" customWidth="1"/>
    <col min="9744" max="9744" width="4.42578125" style="129" customWidth="1"/>
    <col min="9745" max="9745" width="4" style="129" customWidth="1"/>
    <col min="9746" max="9746" width="3" style="129" customWidth="1"/>
    <col min="9747" max="9747" width="3.92578125" style="129" customWidth="1"/>
    <col min="9748" max="9748" width="4.42578125" style="129" customWidth="1"/>
    <col min="9749" max="9749" width="3.42578125" style="129" customWidth="1"/>
    <col min="9750" max="9750" width="4.92578125" style="129" customWidth="1"/>
    <col min="9751" max="9751" width="10.5703125" style="129" customWidth="1"/>
    <col min="9752" max="9752" width="7.0703125" style="129" customWidth="1"/>
    <col min="9753" max="9753" width="8.0703125" style="129" customWidth="1"/>
    <col min="9754" max="9754" width="7.5703125" style="129" customWidth="1"/>
    <col min="9755" max="9756" width="7.7109375" style="129" customWidth="1"/>
    <col min="9757" max="9757" width="7.0703125" style="129" customWidth="1"/>
    <col min="9758" max="9983" width="9.140625" style="129"/>
    <col min="9984" max="9984" width="4.42578125" style="129" customWidth="1"/>
    <col min="9985" max="9985" width="20.5703125" style="129" customWidth="1"/>
    <col min="9986" max="9986" width="12.42578125" style="129" customWidth="1"/>
    <col min="9987" max="9987" width="12.5703125" style="129" customWidth="1"/>
    <col min="9988" max="9988" width="3.92578125" style="129" customWidth="1"/>
    <col min="9989" max="9989" width="4.2109375" style="129" customWidth="1"/>
    <col min="9990" max="9990" width="4.0703125" style="129" customWidth="1"/>
    <col min="9991" max="9991" width="4" style="129" customWidth="1"/>
    <col min="9992" max="9992" width="16.42578125" style="129" customWidth="1"/>
    <col min="9993" max="9993" width="5.5703125" style="129" customWidth="1"/>
    <col min="9994" max="9994" width="8.7109375" style="129" customWidth="1"/>
    <col min="9995" max="9995" width="5.42578125" style="129" customWidth="1"/>
    <col min="9996" max="9996" width="4.42578125" style="129" customWidth="1"/>
    <col min="9997" max="9997" width="4.2109375" style="129" customWidth="1"/>
    <col min="9998" max="9998" width="3.0703125" style="129" customWidth="1"/>
    <col min="9999" max="9999" width="4.5703125" style="129" customWidth="1"/>
    <col min="10000" max="10000" width="4.42578125" style="129" customWidth="1"/>
    <col min="10001" max="10001" width="4" style="129" customWidth="1"/>
    <col min="10002" max="10002" width="3" style="129" customWidth="1"/>
    <col min="10003" max="10003" width="3.92578125" style="129" customWidth="1"/>
    <col min="10004" max="10004" width="4.42578125" style="129" customWidth="1"/>
    <col min="10005" max="10005" width="3.42578125" style="129" customWidth="1"/>
    <col min="10006" max="10006" width="4.92578125" style="129" customWidth="1"/>
    <col min="10007" max="10007" width="10.5703125" style="129" customWidth="1"/>
    <col min="10008" max="10008" width="7.0703125" style="129" customWidth="1"/>
    <col min="10009" max="10009" width="8.0703125" style="129" customWidth="1"/>
    <col min="10010" max="10010" width="7.5703125" style="129" customWidth="1"/>
    <col min="10011" max="10012" width="7.7109375" style="129" customWidth="1"/>
    <col min="10013" max="10013" width="7.0703125" style="129" customWidth="1"/>
    <col min="10014" max="10239" width="9.140625" style="129"/>
    <col min="10240" max="10240" width="4.42578125" style="129" customWidth="1"/>
    <col min="10241" max="10241" width="20.5703125" style="129" customWidth="1"/>
    <col min="10242" max="10242" width="12.42578125" style="129" customWidth="1"/>
    <col min="10243" max="10243" width="12.5703125" style="129" customWidth="1"/>
    <col min="10244" max="10244" width="3.92578125" style="129" customWidth="1"/>
    <col min="10245" max="10245" width="4.2109375" style="129" customWidth="1"/>
    <col min="10246" max="10246" width="4.0703125" style="129" customWidth="1"/>
    <col min="10247" max="10247" width="4" style="129" customWidth="1"/>
    <col min="10248" max="10248" width="16.42578125" style="129" customWidth="1"/>
    <col min="10249" max="10249" width="5.5703125" style="129" customWidth="1"/>
    <col min="10250" max="10250" width="8.7109375" style="129" customWidth="1"/>
    <col min="10251" max="10251" width="5.42578125" style="129" customWidth="1"/>
    <col min="10252" max="10252" width="4.42578125" style="129" customWidth="1"/>
    <col min="10253" max="10253" width="4.2109375" style="129" customWidth="1"/>
    <col min="10254" max="10254" width="3.0703125" style="129" customWidth="1"/>
    <col min="10255" max="10255" width="4.5703125" style="129" customWidth="1"/>
    <col min="10256" max="10256" width="4.42578125" style="129" customWidth="1"/>
    <col min="10257" max="10257" width="4" style="129" customWidth="1"/>
    <col min="10258" max="10258" width="3" style="129" customWidth="1"/>
    <col min="10259" max="10259" width="3.92578125" style="129" customWidth="1"/>
    <col min="10260" max="10260" width="4.42578125" style="129" customWidth="1"/>
    <col min="10261" max="10261" width="3.42578125" style="129" customWidth="1"/>
    <col min="10262" max="10262" width="4.92578125" style="129" customWidth="1"/>
    <col min="10263" max="10263" width="10.5703125" style="129" customWidth="1"/>
    <col min="10264" max="10264" width="7.0703125" style="129" customWidth="1"/>
    <col min="10265" max="10265" width="8.0703125" style="129" customWidth="1"/>
    <col min="10266" max="10266" width="7.5703125" style="129" customWidth="1"/>
    <col min="10267" max="10268" width="7.7109375" style="129" customWidth="1"/>
    <col min="10269" max="10269" width="7.0703125" style="129" customWidth="1"/>
    <col min="10270" max="10495" width="9.140625" style="129"/>
    <col min="10496" max="10496" width="4.42578125" style="129" customWidth="1"/>
    <col min="10497" max="10497" width="20.5703125" style="129" customWidth="1"/>
    <col min="10498" max="10498" width="12.42578125" style="129" customWidth="1"/>
    <col min="10499" max="10499" width="12.5703125" style="129" customWidth="1"/>
    <col min="10500" max="10500" width="3.92578125" style="129" customWidth="1"/>
    <col min="10501" max="10501" width="4.2109375" style="129" customWidth="1"/>
    <col min="10502" max="10502" width="4.0703125" style="129" customWidth="1"/>
    <col min="10503" max="10503" width="4" style="129" customWidth="1"/>
    <col min="10504" max="10504" width="16.42578125" style="129" customWidth="1"/>
    <col min="10505" max="10505" width="5.5703125" style="129" customWidth="1"/>
    <col min="10506" max="10506" width="8.7109375" style="129" customWidth="1"/>
    <col min="10507" max="10507" width="5.42578125" style="129" customWidth="1"/>
    <col min="10508" max="10508" width="4.42578125" style="129" customWidth="1"/>
    <col min="10509" max="10509" width="4.2109375" style="129" customWidth="1"/>
    <col min="10510" max="10510" width="3.0703125" style="129" customWidth="1"/>
    <col min="10511" max="10511" width="4.5703125" style="129" customWidth="1"/>
    <col min="10512" max="10512" width="4.42578125" style="129" customWidth="1"/>
    <col min="10513" max="10513" width="4" style="129" customWidth="1"/>
    <col min="10514" max="10514" width="3" style="129" customWidth="1"/>
    <col min="10515" max="10515" width="3.92578125" style="129" customWidth="1"/>
    <col min="10516" max="10516" width="4.42578125" style="129" customWidth="1"/>
    <col min="10517" max="10517" width="3.42578125" style="129" customWidth="1"/>
    <col min="10518" max="10518" width="4.92578125" style="129" customWidth="1"/>
    <col min="10519" max="10519" width="10.5703125" style="129" customWidth="1"/>
    <col min="10520" max="10520" width="7.0703125" style="129" customWidth="1"/>
    <col min="10521" max="10521" width="8.0703125" style="129" customWidth="1"/>
    <col min="10522" max="10522" width="7.5703125" style="129" customWidth="1"/>
    <col min="10523" max="10524" width="7.7109375" style="129" customWidth="1"/>
    <col min="10525" max="10525" width="7.0703125" style="129" customWidth="1"/>
    <col min="10526" max="10751" width="9.140625" style="129"/>
    <col min="10752" max="10752" width="4.42578125" style="129" customWidth="1"/>
    <col min="10753" max="10753" width="20.5703125" style="129" customWidth="1"/>
    <col min="10754" max="10754" width="12.42578125" style="129" customWidth="1"/>
    <col min="10755" max="10755" width="12.5703125" style="129" customWidth="1"/>
    <col min="10756" max="10756" width="3.92578125" style="129" customWidth="1"/>
    <col min="10757" max="10757" width="4.2109375" style="129" customWidth="1"/>
    <col min="10758" max="10758" width="4.0703125" style="129" customWidth="1"/>
    <col min="10759" max="10759" width="4" style="129" customWidth="1"/>
    <col min="10760" max="10760" width="16.42578125" style="129" customWidth="1"/>
    <col min="10761" max="10761" width="5.5703125" style="129" customWidth="1"/>
    <col min="10762" max="10762" width="8.7109375" style="129" customWidth="1"/>
    <col min="10763" max="10763" width="5.42578125" style="129" customWidth="1"/>
    <col min="10764" max="10764" width="4.42578125" style="129" customWidth="1"/>
    <col min="10765" max="10765" width="4.2109375" style="129" customWidth="1"/>
    <col min="10766" max="10766" width="3.0703125" style="129" customWidth="1"/>
    <col min="10767" max="10767" width="4.5703125" style="129" customWidth="1"/>
    <col min="10768" max="10768" width="4.42578125" style="129" customWidth="1"/>
    <col min="10769" max="10769" width="4" style="129" customWidth="1"/>
    <col min="10770" max="10770" width="3" style="129" customWidth="1"/>
    <col min="10771" max="10771" width="3.92578125" style="129" customWidth="1"/>
    <col min="10772" max="10772" width="4.42578125" style="129" customWidth="1"/>
    <col min="10773" max="10773" width="3.42578125" style="129" customWidth="1"/>
    <col min="10774" max="10774" width="4.92578125" style="129" customWidth="1"/>
    <col min="10775" max="10775" width="10.5703125" style="129" customWidth="1"/>
    <col min="10776" max="10776" width="7.0703125" style="129" customWidth="1"/>
    <col min="10777" max="10777" width="8.0703125" style="129" customWidth="1"/>
    <col min="10778" max="10778" width="7.5703125" style="129" customWidth="1"/>
    <col min="10779" max="10780" width="7.7109375" style="129" customWidth="1"/>
    <col min="10781" max="10781" width="7.0703125" style="129" customWidth="1"/>
    <col min="10782" max="11007" width="9.140625" style="129"/>
    <col min="11008" max="11008" width="4.42578125" style="129" customWidth="1"/>
    <col min="11009" max="11009" width="20.5703125" style="129" customWidth="1"/>
    <col min="11010" max="11010" width="12.42578125" style="129" customWidth="1"/>
    <col min="11011" max="11011" width="12.5703125" style="129" customWidth="1"/>
    <col min="11012" max="11012" width="3.92578125" style="129" customWidth="1"/>
    <col min="11013" max="11013" width="4.2109375" style="129" customWidth="1"/>
    <col min="11014" max="11014" width="4.0703125" style="129" customWidth="1"/>
    <col min="11015" max="11015" width="4" style="129" customWidth="1"/>
    <col min="11016" max="11016" width="16.42578125" style="129" customWidth="1"/>
    <col min="11017" max="11017" width="5.5703125" style="129" customWidth="1"/>
    <col min="11018" max="11018" width="8.7109375" style="129" customWidth="1"/>
    <col min="11019" max="11019" width="5.42578125" style="129" customWidth="1"/>
    <col min="11020" max="11020" width="4.42578125" style="129" customWidth="1"/>
    <col min="11021" max="11021" width="4.2109375" style="129" customWidth="1"/>
    <col min="11022" max="11022" width="3.0703125" style="129" customWidth="1"/>
    <col min="11023" max="11023" width="4.5703125" style="129" customWidth="1"/>
    <col min="11024" max="11024" width="4.42578125" style="129" customWidth="1"/>
    <col min="11025" max="11025" width="4" style="129" customWidth="1"/>
    <col min="11026" max="11026" width="3" style="129" customWidth="1"/>
    <col min="11027" max="11027" width="3.92578125" style="129" customWidth="1"/>
    <col min="11028" max="11028" width="4.42578125" style="129" customWidth="1"/>
    <col min="11029" max="11029" width="3.42578125" style="129" customWidth="1"/>
    <col min="11030" max="11030" width="4.92578125" style="129" customWidth="1"/>
    <col min="11031" max="11031" width="10.5703125" style="129" customWidth="1"/>
    <col min="11032" max="11032" width="7.0703125" style="129" customWidth="1"/>
    <col min="11033" max="11033" width="8.0703125" style="129" customWidth="1"/>
    <col min="11034" max="11034" width="7.5703125" style="129" customWidth="1"/>
    <col min="11035" max="11036" width="7.7109375" style="129" customWidth="1"/>
    <col min="11037" max="11037" width="7.0703125" style="129" customWidth="1"/>
    <col min="11038" max="11263" width="9.140625" style="129"/>
    <col min="11264" max="11264" width="4.42578125" style="129" customWidth="1"/>
    <col min="11265" max="11265" width="20.5703125" style="129" customWidth="1"/>
    <col min="11266" max="11266" width="12.42578125" style="129" customWidth="1"/>
    <col min="11267" max="11267" width="12.5703125" style="129" customWidth="1"/>
    <col min="11268" max="11268" width="3.92578125" style="129" customWidth="1"/>
    <col min="11269" max="11269" width="4.2109375" style="129" customWidth="1"/>
    <col min="11270" max="11270" width="4.0703125" style="129" customWidth="1"/>
    <col min="11271" max="11271" width="4" style="129" customWidth="1"/>
    <col min="11272" max="11272" width="16.42578125" style="129" customWidth="1"/>
    <col min="11273" max="11273" width="5.5703125" style="129" customWidth="1"/>
    <col min="11274" max="11274" width="8.7109375" style="129" customWidth="1"/>
    <col min="11275" max="11275" width="5.42578125" style="129" customWidth="1"/>
    <col min="11276" max="11276" width="4.42578125" style="129" customWidth="1"/>
    <col min="11277" max="11277" width="4.2109375" style="129" customWidth="1"/>
    <col min="11278" max="11278" width="3.0703125" style="129" customWidth="1"/>
    <col min="11279" max="11279" width="4.5703125" style="129" customWidth="1"/>
    <col min="11280" max="11280" width="4.42578125" style="129" customWidth="1"/>
    <col min="11281" max="11281" width="4" style="129" customWidth="1"/>
    <col min="11282" max="11282" width="3" style="129" customWidth="1"/>
    <col min="11283" max="11283" width="3.92578125" style="129" customWidth="1"/>
    <col min="11284" max="11284" width="4.42578125" style="129" customWidth="1"/>
    <col min="11285" max="11285" width="3.42578125" style="129" customWidth="1"/>
    <col min="11286" max="11286" width="4.92578125" style="129" customWidth="1"/>
    <col min="11287" max="11287" width="10.5703125" style="129" customWidth="1"/>
    <col min="11288" max="11288" width="7.0703125" style="129" customWidth="1"/>
    <col min="11289" max="11289" width="8.0703125" style="129" customWidth="1"/>
    <col min="11290" max="11290" width="7.5703125" style="129" customWidth="1"/>
    <col min="11291" max="11292" width="7.7109375" style="129" customWidth="1"/>
    <col min="11293" max="11293" width="7.0703125" style="129" customWidth="1"/>
    <col min="11294" max="11519" width="9.140625" style="129"/>
    <col min="11520" max="11520" width="4.42578125" style="129" customWidth="1"/>
    <col min="11521" max="11521" width="20.5703125" style="129" customWidth="1"/>
    <col min="11522" max="11522" width="12.42578125" style="129" customWidth="1"/>
    <col min="11523" max="11523" width="12.5703125" style="129" customWidth="1"/>
    <col min="11524" max="11524" width="3.92578125" style="129" customWidth="1"/>
    <col min="11525" max="11525" width="4.2109375" style="129" customWidth="1"/>
    <col min="11526" max="11526" width="4.0703125" style="129" customWidth="1"/>
    <col min="11527" max="11527" width="4" style="129" customWidth="1"/>
    <col min="11528" max="11528" width="16.42578125" style="129" customWidth="1"/>
    <col min="11529" max="11529" width="5.5703125" style="129" customWidth="1"/>
    <col min="11530" max="11530" width="8.7109375" style="129" customWidth="1"/>
    <col min="11531" max="11531" width="5.42578125" style="129" customWidth="1"/>
    <col min="11532" max="11532" width="4.42578125" style="129" customWidth="1"/>
    <col min="11533" max="11533" width="4.2109375" style="129" customWidth="1"/>
    <col min="11534" max="11534" width="3.0703125" style="129" customWidth="1"/>
    <col min="11535" max="11535" width="4.5703125" style="129" customWidth="1"/>
    <col min="11536" max="11536" width="4.42578125" style="129" customWidth="1"/>
    <col min="11537" max="11537" width="4" style="129" customWidth="1"/>
    <col min="11538" max="11538" width="3" style="129" customWidth="1"/>
    <col min="11539" max="11539" width="3.92578125" style="129" customWidth="1"/>
    <col min="11540" max="11540" width="4.42578125" style="129" customWidth="1"/>
    <col min="11541" max="11541" width="3.42578125" style="129" customWidth="1"/>
    <col min="11542" max="11542" width="4.92578125" style="129" customWidth="1"/>
    <col min="11543" max="11543" width="10.5703125" style="129" customWidth="1"/>
    <col min="11544" max="11544" width="7.0703125" style="129" customWidth="1"/>
    <col min="11545" max="11545" width="8.0703125" style="129" customWidth="1"/>
    <col min="11546" max="11546" width="7.5703125" style="129" customWidth="1"/>
    <col min="11547" max="11548" width="7.7109375" style="129" customWidth="1"/>
    <col min="11549" max="11549" width="7.0703125" style="129" customWidth="1"/>
    <col min="11550" max="11775" width="9.140625" style="129"/>
    <col min="11776" max="11776" width="4.42578125" style="129" customWidth="1"/>
    <col min="11777" max="11777" width="20.5703125" style="129" customWidth="1"/>
    <col min="11778" max="11778" width="12.42578125" style="129" customWidth="1"/>
    <col min="11779" max="11779" width="12.5703125" style="129" customWidth="1"/>
    <col min="11780" max="11780" width="3.92578125" style="129" customWidth="1"/>
    <col min="11781" max="11781" width="4.2109375" style="129" customWidth="1"/>
    <col min="11782" max="11782" width="4.0703125" style="129" customWidth="1"/>
    <col min="11783" max="11783" width="4" style="129" customWidth="1"/>
    <col min="11784" max="11784" width="16.42578125" style="129" customWidth="1"/>
    <col min="11785" max="11785" width="5.5703125" style="129" customWidth="1"/>
    <col min="11786" max="11786" width="8.7109375" style="129" customWidth="1"/>
    <col min="11787" max="11787" width="5.42578125" style="129" customWidth="1"/>
    <col min="11788" max="11788" width="4.42578125" style="129" customWidth="1"/>
    <col min="11789" max="11789" width="4.2109375" style="129" customWidth="1"/>
    <col min="11790" max="11790" width="3.0703125" style="129" customWidth="1"/>
    <col min="11791" max="11791" width="4.5703125" style="129" customWidth="1"/>
    <col min="11792" max="11792" width="4.42578125" style="129" customWidth="1"/>
    <col min="11793" max="11793" width="4" style="129" customWidth="1"/>
    <col min="11794" max="11794" width="3" style="129" customWidth="1"/>
    <col min="11795" max="11795" width="3.92578125" style="129" customWidth="1"/>
    <col min="11796" max="11796" width="4.42578125" style="129" customWidth="1"/>
    <col min="11797" max="11797" width="3.42578125" style="129" customWidth="1"/>
    <col min="11798" max="11798" width="4.92578125" style="129" customWidth="1"/>
    <col min="11799" max="11799" width="10.5703125" style="129" customWidth="1"/>
    <col min="11800" max="11800" width="7.0703125" style="129" customWidth="1"/>
    <col min="11801" max="11801" width="8.0703125" style="129" customWidth="1"/>
    <col min="11802" max="11802" width="7.5703125" style="129" customWidth="1"/>
    <col min="11803" max="11804" width="7.7109375" style="129" customWidth="1"/>
    <col min="11805" max="11805" width="7.0703125" style="129" customWidth="1"/>
    <col min="11806" max="12031" width="9.140625" style="129"/>
    <col min="12032" max="12032" width="4.42578125" style="129" customWidth="1"/>
    <col min="12033" max="12033" width="20.5703125" style="129" customWidth="1"/>
    <col min="12034" max="12034" width="12.42578125" style="129" customWidth="1"/>
    <col min="12035" max="12035" width="12.5703125" style="129" customWidth="1"/>
    <col min="12036" max="12036" width="3.92578125" style="129" customWidth="1"/>
    <col min="12037" max="12037" width="4.2109375" style="129" customWidth="1"/>
    <col min="12038" max="12038" width="4.0703125" style="129" customWidth="1"/>
    <col min="12039" max="12039" width="4" style="129" customWidth="1"/>
    <col min="12040" max="12040" width="16.42578125" style="129" customWidth="1"/>
    <col min="12041" max="12041" width="5.5703125" style="129" customWidth="1"/>
    <col min="12042" max="12042" width="8.7109375" style="129" customWidth="1"/>
    <col min="12043" max="12043" width="5.42578125" style="129" customWidth="1"/>
    <col min="12044" max="12044" width="4.42578125" style="129" customWidth="1"/>
    <col min="12045" max="12045" width="4.2109375" style="129" customWidth="1"/>
    <col min="12046" max="12046" width="3.0703125" style="129" customWidth="1"/>
    <col min="12047" max="12047" width="4.5703125" style="129" customWidth="1"/>
    <col min="12048" max="12048" width="4.42578125" style="129" customWidth="1"/>
    <col min="12049" max="12049" width="4" style="129" customWidth="1"/>
    <col min="12050" max="12050" width="3" style="129" customWidth="1"/>
    <col min="12051" max="12051" width="3.92578125" style="129" customWidth="1"/>
    <col min="12052" max="12052" width="4.42578125" style="129" customWidth="1"/>
    <col min="12053" max="12053" width="3.42578125" style="129" customWidth="1"/>
    <col min="12054" max="12054" width="4.92578125" style="129" customWidth="1"/>
    <col min="12055" max="12055" width="10.5703125" style="129" customWidth="1"/>
    <col min="12056" max="12056" width="7.0703125" style="129" customWidth="1"/>
    <col min="12057" max="12057" width="8.0703125" style="129" customWidth="1"/>
    <col min="12058" max="12058" width="7.5703125" style="129" customWidth="1"/>
    <col min="12059" max="12060" width="7.7109375" style="129" customWidth="1"/>
    <col min="12061" max="12061" width="7.0703125" style="129" customWidth="1"/>
    <col min="12062" max="12287" width="9.140625" style="129"/>
    <col min="12288" max="12288" width="4.42578125" style="129" customWidth="1"/>
    <col min="12289" max="12289" width="20.5703125" style="129" customWidth="1"/>
    <col min="12290" max="12290" width="12.42578125" style="129" customWidth="1"/>
    <col min="12291" max="12291" width="12.5703125" style="129" customWidth="1"/>
    <col min="12292" max="12292" width="3.92578125" style="129" customWidth="1"/>
    <col min="12293" max="12293" width="4.2109375" style="129" customWidth="1"/>
    <col min="12294" max="12294" width="4.0703125" style="129" customWidth="1"/>
    <col min="12295" max="12295" width="4" style="129" customWidth="1"/>
    <col min="12296" max="12296" width="16.42578125" style="129" customWidth="1"/>
    <col min="12297" max="12297" width="5.5703125" style="129" customWidth="1"/>
    <col min="12298" max="12298" width="8.7109375" style="129" customWidth="1"/>
    <col min="12299" max="12299" width="5.42578125" style="129" customWidth="1"/>
    <col min="12300" max="12300" width="4.42578125" style="129" customWidth="1"/>
    <col min="12301" max="12301" width="4.2109375" style="129" customWidth="1"/>
    <col min="12302" max="12302" width="3.0703125" style="129" customWidth="1"/>
    <col min="12303" max="12303" width="4.5703125" style="129" customWidth="1"/>
    <col min="12304" max="12304" width="4.42578125" style="129" customWidth="1"/>
    <col min="12305" max="12305" width="4" style="129" customWidth="1"/>
    <col min="12306" max="12306" width="3" style="129" customWidth="1"/>
    <col min="12307" max="12307" width="3.92578125" style="129" customWidth="1"/>
    <col min="12308" max="12308" width="4.42578125" style="129" customWidth="1"/>
    <col min="12309" max="12309" width="3.42578125" style="129" customWidth="1"/>
    <col min="12310" max="12310" width="4.92578125" style="129" customWidth="1"/>
    <col min="12311" max="12311" width="10.5703125" style="129" customWidth="1"/>
    <col min="12312" max="12312" width="7.0703125" style="129" customWidth="1"/>
    <col min="12313" max="12313" width="8.0703125" style="129" customWidth="1"/>
    <col min="12314" max="12314" width="7.5703125" style="129" customWidth="1"/>
    <col min="12315" max="12316" width="7.7109375" style="129" customWidth="1"/>
    <col min="12317" max="12317" width="7.0703125" style="129" customWidth="1"/>
    <col min="12318" max="12543" width="9.140625" style="129"/>
    <col min="12544" max="12544" width="4.42578125" style="129" customWidth="1"/>
    <col min="12545" max="12545" width="20.5703125" style="129" customWidth="1"/>
    <col min="12546" max="12546" width="12.42578125" style="129" customWidth="1"/>
    <col min="12547" max="12547" width="12.5703125" style="129" customWidth="1"/>
    <col min="12548" max="12548" width="3.92578125" style="129" customWidth="1"/>
    <col min="12549" max="12549" width="4.2109375" style="129" customWidth="1"/>
    <col min="12550" max="12550" width="4.0703125" style="129" customWidth="1"/>
    <col min="12551" max="12551" width="4" style="129" customWidth="1"/>
    <col min="12552" max="12552" width="16.42578125" style="129" customWidth="1"/>
    <col min="12553" max="12553" width="5.5703125" style="129" customWidth="1"/>
    <col min="12554" max="12554" width="8.7109375" style="129" customWidth="1"/>
    <col min="12555" max="12555" width="5.42578125" style="129" customWidth="1"/>
    <col min="12556" max="12556" width="4.42578125" style="129" customWidth="1"/>
    <col min="12557" max="12557" width="4.2109375" style="129" customWidth="1"/>
    <col min="12558" max="12558" width="3.0703125" style="129" customWidth="1"/>
    <col min="12559" max="12559" width="4.5703125" style="129" customWidth="1"/>
    <col min="12560" max="12560" width="4.42578125" style="129" customWidth="1"/>
    <col min="12561" max="12561" width="4" style="129" customWidth="1"/>
    <col min="12562" max="12562" width="3" style="129" customWidth="1"/>
    <col min="12563" max="12563" width="3.92578125" style="129" customWidth="1"/>
    <col min="12564" max="12564" width="4.42578125" style="129" customWidth="1"/>
    <col min="12565" max="12565" width="3.42578125" style="129" customWidth="1"/>
    <col min="12566" max="12566" width="4.92578125" style="129" customWidth="1"/>
    <col min="12567" max="12567" width="10.5703125" style="129" customWidth="1"/>
    <col min="12568" max="12568" width="7.0703125" style="129" customWidth="1"/>
    <col min="12569" max="12569" width="8.0703125" style="129" customWidth="1"/>
    <col min="12570" max="12570" width="7.5703125" style="129" customWidth="1"/>
    <col min="12571" max="12572" width="7.7109375" style="129" customWidth="1"/>
    <col min="12573" max="12573" width="7.0703125" style="129" customWidth="1"/>
    <col min="12574" max="12799" width="9.140625" style="129"/>
    <col min="12800" max="12800" width="4.42578125" style="129" customWidth="1"/>
    <col min="12801" max="12801" width="20.5703125" style="129" customWidth="1"/>
    <col min="12802" max="12802" width="12.42578125" style="129" customWidth="1"/>
    <col min="12803" max="12803" width="12.5703125" style="129" customWidth="1"/>
    <col min="12804" max="12804" width="3.92578125" style="129" customWidth="1"/>
    <col min="12805" max="12805" width="4.2109375" style="129" customWidth="1"/>
    <col min="12806" max="12806" width="4.0703125" style="129" customWidth="1"/>
    <col min="12807" max="12807" width="4" style="129" customWidth="1"/>
    <col min="12808" max="12808" width="16.42578125" style="129" customWidth="1"/>
    <col min="12809" max="12809" width="5.5703125" style="129" customWidth="1"/>
    <col min="12810" max="12810" width="8.7109375" style="129" customWidth="1"/>
    <col min="12811" max="12811" width="5.42578125" style="129" customWidth="1"/>
    <col min="12812" max="12812" width="4.42578125" style="129" customWidth="1"/>
    <col min="12813" max="12813" width="4.2109375" style="129" customWidth="1"/>
    <col min="12814" max="12814" width="3.0703125" style="129" customWidth="1"/>
    <col min="12815" max="12815" width="4.5703125" style="129" customWidth="1"/>
    <col min="12816" max="12816" width="4.42578125" style="129" customWidth="1"/>
    <col min="12817" max="12817" width="4" style="129" customWidth="1"/>
    <col min="12818" max="12818" width="3" style="129" customWidth="1"/>
    <col min="12819" max="12819" width="3.92578125" style="129" customWidth="1"/>
    <col min="12820" max="12820" width="4.42578125" style="129" customWidth="1"/>
    <col min="12821" max="12821" width="3.42578125" style="129" customWidth="1"/>
    <col min="12822" max="12822" width="4.92578125" style="129" customWidth="1"/>
    <col min="12823" max="12823" width="10.5703125" style="129" customWidth="1"/>
    <col min="12824" max="12824" width="7.0703125" style="129" customWidth="1"/>
    <col min="12825" max="12825" width="8.0703125" style="129" customWidth="1"/>
    <col min="12826" max="12826" width="7.5703125" style="129" customWidth="1"/>
    <col min="12827" max="12828" width="7.7109375" style="129" customWidth="1"/>
    <col min="12829" max="12829" width="7.0703125" style="129" customWidth="1"/>
    <col min="12830" max="13055" width="9.140625" style="129"/>
    <col min="13056" max="13056" width="4.42578125" style="129" customWidth="1"/>
    <col min="13057" max="13057" width="20.5703125" style="129" customWidth="1"/>
    <col min="13058" max="13058" width="12.42578125" style="129" customWidth="1"/>
    <col min="13059" max="13059" width="12.5703125" style="129" customWidth="1"/>
    <col min="13060" max="13060" width="3.92578125" style="129" customWidth="1"/>
    <col min="13061" max="13061" width="4.2109375" style="129" customWidth="1"/>
    <col min="13062" max="13062" width="4.0703125" style="129" customWidth="1"/>
    <col min="13063" max="13063" width="4" style="129" customWidth="1"/>
    <col min="13064" max="13064" width="16.42578125" style="129" customWidth="1"/>
    <col min="13065" max="13065" width="5.5703125" style="129" customWidth="1"/>
    <col min="13066" max="13066" width="8.7109375" style="129" customWidth="1"/>
    <col min="13067" max="13067" width="5.42578125" style="129" customWidth="1"/>
    <col min="13068" max="13068" width="4.42578125" style="129" customWidth="1"/>
    <col min="13069" max="13069" width="4.2109375" style="129" customWidth="1"/>
    <col min="13070" max="13070" width="3.0703125" style="129" customWidth="1"/>
    <col min="13071" max="13071" width="4.5703125" style="129" customWidth="1"/>
    <col min="13072" max="13072" width="4.42578125" style="129" customWidth="1"/>
    <col min="13073" max="13073" width="4" style="129" customWidth="1"/>
    <col min="13074" max="13074" width="3" style="129" customWidth="1"/>
    <col min="13075" max="13075" width="3.92578125" style="129" customWidth="1"/>
    <col min="13076" max="13076" width="4.42578125" style="129" customWidth="1"/>
    <col min="13077" max="13077" width="3.42578125" style="129" customWidth="1"/>
    <col min="13078" max="13078" width="4.92578125" style="129" customWidth="1"/>
    <col min="13079" max="13079" width="10.5703125" style="129" customWidth="1"/>
    <col min="13080" max="13080" width="7.0703125" style="129" customWidth="1"/>
    <col min="13081" max="13081" width="8.0703125" style="129" customWidth="1"/>
    <col min="13082" max="13082" width="7.5703125" style="129" customWidth="1"/>
    <col min="13083" max="13084" width="7.7109375" style="129" customWidth="1"/>
    <col min="13085" max="13085" width="7.0703125" style="129" customWidth="1"/>
    <col min="13086" max="13311" width="9.140625" style="129"/>
    <col min="13312" max="13312" width="4.42578125" style="129" customWidth="1"/>
    <col min="13313" max="13313" width="20.5703125" style="129" customWidth="1"/>
    <col min="13314" max="13314" width="12.42578125" style="129" customWidth="1"/>
    <col min="13315" max="13315" width="12.5703125" style="129" customWidth="1"/>
    <col min="13316" max="13316" width="3.92578125" style="129" customWidth="1"/>
    <col min="13317" max="13317" width="4.2109375" style="129" customWidth="1"/>
    <col min="13318" max="13318" width="4.0703125" style="129" customWidth="1"/>
    <col min="13319" max="13319" width="4" style="129" customWidth="1"/>
    <col min="13320" max="13320" width="16.42578125" style="129" customWidth="1"/>
    <col min="13321" max="13321" width="5.5703125" style="129" customWidth="1"/>
    <col min="13322" max="13322" width="8.7109375" style="129" customWidth="1"/>
    <col min="13323" max="13323" width="5.42578125" style="129" customWidth="1"/>
    <col min="13324" max="13324" width="4.42578125" style="129" customWidth="1"/>
    <col min="13325" max="13325" width="4.2109375" style="129" customWidth="1"/>
    <col min="13326" max="13326" width="3.0703125" style="129" customWidth="1"/>
    <col min="13327" max="13327" width="4.5703125" style="129" customWidth="1"/>
    <col min="13328" max="13328" width="4.42578125" style="129" customWidth="1"/>
    <col min="13329" max="13329" width="4" style="129" customWidth="1"/>
    <col min="13330" max="13330" width="3" style="129" customWidth="1"/>
    <col min="13331" max="13331" width="3.92578125" style="129" customWidth="1"/>
    <col min="13332" max="13332" width="4.42578125" style="129" customWidth="1"/>
    <col min="13333" max="13333" width="3.42578125" style="129" customWidth="1"/>
    <col min="13334" max="13334" width="4.92578125" style="129" customWidth="1"/>
    <col min="13335" max="13335" width="10.5703125" style="129" customWidth="1"/>
    <col min="13336" max="13336" width="7.0703125" style="129" customWidth="1"/>
    <col min="13337" max="13337" width="8.0703125" style="129" customWidth="1"/>
    <col min="13338" max="13338" width="7.5703125" style="129" customWidth="1"/>
    <col min="13339" max="13340" width="7.7109375" style="129" customWidth="1"/>
    <col min="13341" max="13341" width="7.0703125" style="129" customWidth="1"/>
    <col min="13342" max="13567" width="9.140625" style="129"/>
    <col min="13568" max="13568" width="4.42578125" style="129" customWidth="1"/>
    <col min="13569" max="13569" width="20.5703125" style="129" customWidth="1"/>
    <col min="13570" max="13570" width="12.42578125" style="129" customWidth="1"/>
    <col min="13571" max="13571" width="12.5703125" style="129" customWidth="1"/>
    <col min="13572" max="13572" width="3.92578125" style="129" customWidth="1"/>
    <col min="13573" max="13573" width="4.2109375" style="129" customWidth="1"/>
    <col min="13574" max="13574" width="4.0703125" style="129" customWidth="1"/>
    <col min="13575" max="13575" width="4" style="129" customWidth="1"/>
    <col min="13576" max="13576" width="16.42578125" style="129" customWidth="1"/>
    <col min="13577" max="13577" width="5.5703125" style="129" customWidth="1"/>
    <col min="13578" max="13578" width="8.7109375" style="129" customWidth="1"/>
    <col min="13579" max="13579" width="5.42578125" style="129" customWidth="1"/>
    <col min="13580" max="13580" width="4.42578125" style="129" customWidth="1"/>
    <col min="13581" max="13581" width="4.2109375" style="129" customWidth="1"/>
    <col min="13582" max="13582" width="3.0703125" style="129" customWidth="1"/>
    <col min="13583" max="13583" width="4.5703125" style="129" customWidth="1"/>
    <col min="13584" max="13584" width="4.42578125" style="129" customWidth="1"/>
    <col min="13585" max="13585" width="4" style="129" customWidth="1"/>
    <col min="13586" max="13586" width="3" style="129" customWidth="1"/>
    <col min="13587" max="13587" width="3.92578125" style="129" customWidth="1"/>
    <col min="13588" max="13588" width="4.42578125" style="129" customWidth="1"/>
    <col min="13589" max="13589" width="3.42578125" style="129" customWidth="1"/>
    <col min="13590" max="13590" width="4.92578125" style="129" customWidth="1"/>
    <col min="13591" max="13591" width="10.5703125" style="129" customWidth="1"/>
    <col min="13592" max="13592" width="7.0703125" style="129" customWidth="1"/>
    <col min="13593" max="13593" width="8.0703125" style="129" customWidth="1"/>
    <col min="13594" max="13594" width="7.5703125" style="129" customWidth="1"/>
    <col min="13595" max="13596" width="7.7109375" style="129" customWidth="1"/>
    <col min="13597" max="13597" width="7.0703125" style="129" customWidth="1"/>
    <col min="13598" max="13823" width="9.140625" style="129"/>
    <col min="13824" max="13824" width="4.42578125" style="129" customWidth="1"/>
    <col min="13825" max="13825" width="20.5703125" style="129" customWidth="1"/>
    <col min="13826" max="13826" width="12.42578125" style="129" customWidth="1"/>
    <col min="13827" max="13827" width="12.5703125" style="129" customWidth="1"/>
    <col min="13828" max="13828" width="3.92578125" style="129" customWidth="1"/>
    <col min="13829" max="13829" width="4.2109375" style="129" customWidth="1"/>
    <col min="13830" max="13830" width="4.0703125" style="129" customWidth="1"/>
    <col min="13831" max="13831" width="4" style="129" customWidth="1"/>
    <col min="13832" max="13832" width="16.42578125" style="129" customWidth="1"/>
    <col min="13833" max="13833" width="5.5703125" style="129" customWidth="1"/>
    <col min="13834" max="13834" width="8.7109375" style="129" customWidth="1"/>
    <col min="13835" max="13835" width="5.42578125" style="129" customWidth="1"/>
    <col min="13836" max="13836" width="4.42578125" style="129" customWidth="1"/>
    <col min="13837" max="13837" width="4.2109375" style="129" customWidth="1"/>
    <col min="13838" max="13838" width="3.0703125" style="129" customWidth="1"/>
    <col min="13839" max="13839" width="4.5703125" style="129" customWidth="1"/>
    <col min="13840" max="13840" width="4.42578125" style="129" customWidth="1"/>
    <col min="13841" max="13841" width="4" style="129" customWidth="1"/>
    <col min="13842" max="13842" width="3" style="129" customWidth="1"/>
    <col min="13843" max="13843" width="3.92578125" style="129" customWidth="1"/>
    <col min="13844" max="13844" width="4.42578125" style="129" customWidth="1"/>
    <col min="13845" max="13845" width="3.42578125" style="129" customWidth="1"/>
    <col min="13846" max="13846" width="4.92578125" style="129" customWidth="1"/>
    <col min="13847" max="13847" width="10.5703125" style="129" customWidth="1"/>
    <col min="13848" max="13848" width="7.0703125" style="129" customWidth="1"/>
    <col min="13849" max="13849" width="8.0703125" style="129" customWidth="1"/>
    <col min="13850" max="13850" width="7.5703125" style="129" customWidth="1"/>
    <col min="13851" max="13852" width="7.7109375" style="129" customWidth="1"/>
    <col min="13853" max="13853" width="7.0703125" style="129" customWidth="1"/>
    <col min="13854" max="14079" width="9.140625" style="129"/>
    <col min="14080" max="14080" width="4.42578125" style="129" customWidth="1"/>
    <col min="14081" max="14081" width="20.5703125" style="129" customWidth="1"/>
    <col min="14082" max="14082" width="12.42578125" style="129" customWidth="1"/>
    <col min="14083" max="14083" width="12.5703125" style="129" customWidth="1"/>
    <col min="14084" max="14084" width="3.92578125" style="129" customWidth="1"/>
    <col min="14085" max="14085" width="4.2109375" style="129" customWidth="1"/>
    <col min="14086" max="14086" width="4.0703125" style="129" customWidth="1"/>
    <col min="14087" max="14087" width="4" style="129" customWidth="1"/>
    <col min="14088" max="14088" width="16.42578125" style="129" customWidth="1"/>
    <col min="14089" max="14089" width="5.5703125" style="129" customWidth="1"/>
    <col min="14090" max="14090" width="8.7109375" style="129" customWidth="1"/>
    <col min="14091" max="14091" width="5.42578125" style="129" customWidth="1"/>
    <col min="14092" max="14092" width="4.42578125" style="129" customWidth="1"/>
    <col min="14093" max="14093" width="4.2109375" style="129" customWidth="1"/>
    <col min="14094" max="14094" width="3.0703125" style="129" customWidth="1"/>
    <col min="14095" max="14095" width="4.5703125" style="129" customWidth="1"/>
    <col min="14096" max="14096" width="4.42578125" style="129" customWidth="1"/>
    <col min="14097" max="14097" width="4" style="129" customWidth="1"/>
    <col min="14098" max="14098" width="3" style="129" customWidth="1"/>
    <col min="14099" max="14099" width="3.92578125" style="129" customWidth="1"/>
    <col min="14100" max="14100" width="4.42578125" style="129" customWidth="1"/>
    <col min="14101" max="14101" width="3.42578125" style="129" customWidth="1"/>
    <col min="14102" max="14102" width="4.92578125" style="129" customWidth="1"/>
    <col min="14103" max="14103" width="10.5703125" style="129" customWidth="1"/>
    <col min="14104" max="14104" width="7.0703125" style="129" customWidth="1"/>
    <col min="14105" max="14105" width="8.0703125" style="129" customWidth="1"/>
    <col min="14106" max="14106" width="7.5703125" style="129" customWidth="1"/>
    <col min="14107" max="14108" width="7.7109375" style="129" customWidth="1"/>
    <col min="14109" max="14109" width="7.0703125" style="129" customWidth="1"/>
    <col min="14110" max="14335" width="9.140625" style="129"/>
    <col min="14336" max="14336" width="4.42578125" style="129" customWidth="1"/>
    <col min="14337" max="14337" width="20.5703125" style="129" customWidth="1"/>
    <col min="14338" max="14338" width="12.42578125" style="129" customWidth="1"/>
    <col min="14339" max="14339" width="12.5703125" style="129" customWidth="1"/>
    <col min="14340" max="14340" width="3.92578125" style="129" customWidth="1"/>
    <col min="14341" max="14341" width="4.2109375" style="129" customWidth="1"/>
    <col min="14342" max="14342" width="4.0703125" style="129" customWidth="1"/>
    <col min="14343" max="14343" width="4" style="129" customWidth="1"/>
    <col min="14344" max="14344" width="16.42578125" style="129" customWidth="1"/>
    <col min="14345" max="14345" width="5.5703125" style="129" customWidth="1"/>
    <col min="14346" max="14346" width="8.7109375" style="129" customWidth="1"/>
    <col min="14347" max="14347" width="5.42578125" style="129" customWidth="1"/>
    <col min="14348" max="14348" width="4.42578125" style="129" customWidth="1"/>
    <col min="14349" max="14349" width="4.2109375" style="129" customWidth="1"/>
    <col min="14350" max="14350" width="3.0703125" style="129" customWidth="1"/>
    <col min="14351" max="14351" width="4.5703125" style="129" customWidth="1"/>
    <col min="14352" max="14352" width="4.42578125" style="129" customWidth="1"/>
    <col min="14353" max="14353" width="4" style="129" customWidth="1"/>
    <col min="14354" max="14354" width="3" style="129" customWidth="1"/>
    <col min="14355" max="14355" width="3.92578125" style="129" customWidth="1"/>
    <col min="14356" max="14356" width="4.42578125" style="129" customWidth="1"/>
    <col min="14357" max="14357" width="3.42578125" style="129" customWidth="1"/>
    <col min="14358" max="14358" width="4.92578125" style="129" customWidth="1"/>
    <col min="14359" max="14359" width="10.5703125" style="129" customWidth="1"/>
    <col min="14360" max="14360" width="7.0703125" style="129" customWidth="1"/>
    <col min="14361" max="14361" width="8.0703125" style="129" customWidth="1"/>
    <col min="14362" max="14362" width="7.5703125" style="129" customWidth="1"/>
    <col min="14363" max="14364" width="7.7109375" style="129" customWidth="1"/>
    <col min="14365" max="14365" width="7.0703125" style="129" customWidth="1"/>
    <col min="14366" max="14591" width="9.140625" style="129"/>
    <col min="14592" max="14592" width="4.42578125" style="129" customWidth="1"/>
    <col min="14593" max="14593" width="20.5703125" style="129" customWidth="1"/>
    <col min="14594" max="14594" width="12.42578125" style="129" customWidth="1"/>
    <col min="14595" max="14595" width="12.5703125" style="129" customWidth="1"/>
    <col min="14596" max="14596" width="3.92578125" style="129" customWidth="1"/>
    <col min="14597" max="14597" width="4.2109375" style="129" customWidth="1"/>
    <col min="14598" max="14598" width="4.0703125" style="129" customWidth="1"/>
    <col min="14599" max="14599" width="4" style="129" customWidth="1"/>
    <col min="14600" max="14600" width="16.42578125" style="129" customWidth="1"/>
    <col min="14601" max="14601" width="5.5703125" style="129" customWidth="1"/>
    <col min="14602" max="14602" width="8.7109375" style="129" customWidth="1"/>
    <col min="14603" max="14603" width="5.42578125" style="129" customWidth="1"/>
    <col min="14604" max="14604" width="4.42578125" style="129" customWidth="1"/>
    <col min="14605" max="14605" width="4.2109375" style="129" customWidth="1"/>
    <col min="14606" max="14606" width="3.0703125" style="129" customWidth="1"/>
    <col min="14607" max="14607" width="4.5703125" style="129" customWidth="1"/>
    <col min="14608" max="14608" width="4.42578125" style="129" customWidth="1"/>
    <col min="14609" max="14609" width="4" style="129" customWidth="1"/>
    <col min="14610" max="14610" width="3" style="129" customWidth="1"/>
    <col min="14611" max="14611" width="3.92578125" style="129" customWidth="1"/>
    <col min="14612" max="14612" width="4.42578125" style="129" customWidth="1"/>
    <col min="14613" max="14613" width="3.42578125" style="129" customWidth="1"/>
    <col min="14614" max="14614" width="4.92578125" style="129" customWidth="1"/>
    <col min="14615" max="14615" width="10.5703125" style="129" customWidth="1"/>
    <col min="14616" max="14616" width="7.0703125" style="129" customWidth="1"/>
    <col min="14617" max="14617" width="8.0703125" style="129" customWidth="1"/>
    <col min="14618" max="14618" width="7.5703125" style="129" customWidth="1"/>
    <col min="14619" max="14620" width="7.7109375" style="129" customWidth="1"/>
    <col min="14621" max="14621" width="7.0703125" style="129" customWidth="1"/>
    <col min="14622" max="14847" width="9.140625" style="129"/>
    <col min="14848" max="14848" width="4.42578125" style="129" customWidth="1"/>
    <col min="14849" max="14849" width="20.5703125" style="129" customWidth="1"/>
    <col min="14850" max="14850" width="12.42578125" style="129" customWidth="1"/>
    <col min="14851" max="14851" width="12.5703125" style="129" customWidth="1"/>
    <col min="14852" max="14852" width="3.92578125" style="129" customWidth="1"/>
    <col min="14853" max="14853" width="4.2109375" style="129" customWidth="1"/>
    <col min="14854" max="14854" width="4.0703125" style="129" customWidth="1"/>
    <col min="14855" max="14855" width="4" style="129" customWidth="1"/>
    <col min="14856" max="14856" width="16.42578125" style="129" customWidth="1"/>
    <col min="14857" max="14857" width="5.5703125" style="129" customWidth="1"/>
    <col min="14858" max="14858" width="8.7109375" style="129" customWidth="1"/>
    <col min="14859" max="14859" width="5.42578125" style="129" customWidth="1"/>
    <col min="14860" max="14860" width="4.42578125" style="129" customWidth="1"/>
    <col min="14861" max="14861" width="4.2109375" style="129" customWidth="1"/>
    <col min="14862" max="14862" width="3.0703125" style="129" customWidth="1"/>
    <col min="14863" max="14863" width="4.5703125" style="129" customWidth="1"/>
    <col min="14864" max="14864" width="4.42578125" style="129" customWidth="1"/>
    <col min="14865" max="14865" width="4" style="129" customWidth="1"/>
    <col min="14866" max="14866" width="3" style="129" customWidth="1"/>
    <col min="14867" max="14867" width="3.92578125" style="129" customWidth="1"/>
    <col min="14868" max="14868" width="4.42578125" style="129" customWidth="1"/>
    <col min="14869" max="14869" width="3.42578125" style="129" customWidth="1"/>
    <col min="14870" max="14870" width="4.92578125" style="129" customWidth="1"/>
    <col min="14871" max="14871" width="10.5703125" style="129" customWidth="1"/>
    <col min="14872" max="14872" width="7.0703125" style="129" customWidth="1"/>
    <col min="14873" max="14873" width="8.0703125" style="129" customWidth="1"/>
    <col min="14874" max="14874" width="7.5703125" style="129" customWidth="1"/>
    <col min="14875" max="14876" width="7.7109375" style="129" customWidth="1"/>
    <col min="14877" max="14877" width="7.0703125" style="129" customWidth="1"/>
    <col min="14878" max="15103" width="9.140625" style="129"/>
    <col min="15104" max="15104" width="4.42578125" style="129" customWidth="1"/>
    <col min="15105" max="15105" width="20.5703125" style="129" customWidth="1"/>
    <col min="15106" max="15106" width="12.42578125" style="129" customWidth="1"/>
    <col min="15107" max="15107" width="12.5703125" style="129" customWidth="1"/>
    <col min="15108" max="15108" width="3.92578125" style="129" customWidth="1"/>
    <col min="15109" max="15109" width="4.2109375" style="129" customWidth="1"/>
    <col min="15110" max="15110" width="4.0703125" style="129" customWidth="1"/>
    <col min="15111" max="15111" width="4" style="129" customWidth="1"/>
    <col min="15112" max="15112" width="16.42578125" style="129" customWidth="1"/>
    <col min="15113" max="15113" width="5.5703125" style="129" customWidth="1"/>
    <col min="15114" max="15114" width="8.7109375" style="129" customWidth="1"/>
    <col min="15115" max="15115" width="5.42578125" style="129" customWidth="1"/>
    <col min="15116" max="15116" width="4.42578125" style="129" customWidth="1"/>
    <col min="15117" max="15117" width="4.2109375" style="129" customWidth="1"/>
    <col min="15118" max="15118" width="3.0703125" style="129" customWidth="1"/>
    <col min="15119" max="15119" width="4.5703125" style="129" customWidth="1"/>
    <col min="15120" max="15120" width="4.42578125" style="129" customWidth="1"/>
    <col min="15121" max="15121" width="4" style="129" customWidth="1"/>
    <col min="15122" max="15122" width="3" style="129" customWidth="1"/>
    <col min="15123" max="15123" width="3.92578125" style="129" customWidth="1"/>
    <col min="15124" max="15124" width="4.42578125" style="129" customWidth="1"/>
    <col min="15125" max="15125" width="3.42578125" style="129" customWidth="1"/>
    <col min="15126" max="15126" width="4.92578125" style="129" customWidth="1"/>
    <col min="15127" max="15127" width="10.5703125" style="129" customWidth="1"/>
    <col min="15128" max="15128" width="7.0703125" style="129" customWidth="1"/>
    <col min="15129" max="15129" width="8.0703125" style="129" customWidth="1"/>
    <col min="15130" max="15130" width="7.5703125" style="129" customWidth="1"/>
    <col min="15131" max="15132" width="7.7109375" style="129" customWidth="1"/>
    <col min="15133" max="15133" width="7.0703125" style="129" customWidth="1"/>
    <col min="15134" max="15359" width="9.140625" style="129"/>
    <col min="15360" max="15360" width="4.42578125" style="129" customWidth="1"/>
    <col min="15361" max="15361" width="20.5703125" style="129" customWidth="1"/>
    <col min="15362" max="15362" width="12.42578125" style="129" customWidth="1"/>
    <col min="15363" max="15363" width="12.5703125" style="129" customWidth="1"/>
    <col min="15364" max="15364" width="3.92578125" style="129" customWidth="1"/>
    <col min="15365" max="15365" width="4.2109375" style="129" customWidth="1"/>
    <col min="15366" max="15366" width="4.0703125" style="129" customWidth="1"/>
    <col min="15367" max="15367" width="4" style="129" customWidth="1"/>
    <col min="15368" max="15368" width="16.42578125" style="129" customWidth="1"/>
    <col min="15369" max="15369" width="5.5703125" style="129" customWidth="1"/>
    <col min="15370" max="15370" width="8.7109375" style="129" customWidth="1"/>
    <col min="15371" max="15371" width="5.42578125" style="129" customWidth="1"/>
    <col min="15372" max="15372" width="4.42578125" style="129" customWidth="1"/>
    <col min="15373" max="15373" width="4.2109375" style="129" customWidth="1"/>
    <col min="15374" max="15374" width="3.0703125" style="129" customWidth="1"/>
    <col min="15375" max="15375" width="4.5703125" style="129" customWidth="1"/>
    <col min="15376" max="15376" width="4.42578125" style="129" customWidth="1"/>
    <col min="15377" max="15377" width="4" style="129" customWidth="1"/>
    <col min="15378" max="15378" width="3" style="129" customWidth="1"/>
    <col min="15379" max="15379" width="3.92578125" style="129" customWidth="1"/>
    <col min="15380" max="15380" width="4.42578125" style="129" customWidth="1"/>
    <col min="15381" max="15381" width="3.42578125" style="129" customWidth="1"/>
    <col min="15382" max="15382" width="4.92578125" style="129" customWidth="1"/>
    <col min="15383" max="15383" width="10.5703125" style="129" customWidth="1"/>
    <col min="15384" max="15384" width="7.0703125" style="129" customWidth="1"/>
    <col min="15385" max="15385" width="8.0703125" style="129" customWidth="1"/>
    <col min="15386" max="15386" width="7.5703125" style="129" customWidth="1"/>
    <col min="15387" max="15388" width="7.7109375" style="129" customWidth="1"/>
    <col min="15389" max="15389" width="7.0703125" style="129" customWidth="1"/>
    <col min="15390" max="15615" width="9.140625" style="129"/>
    <col min="15616" max="15616" width="4.42578125" style="129" customWidth="1"/>
    <col min="15617" max="15617" width="20.5703125" style="129" customWidth="1"/>
    <col min="15618" max="15618" width="12.42578125" style="129" customWidth="1"/>
    <col min="15619" max="15619" width="12.5703125" style="129" customWidth="1"/>
    <col min="15620" max="15620" width="3.92578125" style="129" customWidth="1"/>
    <col min="15621" max="15621" width="4.2109375" style="129" customWidth="1"/>
    <col min="15622" max="15622" width="4.0703125" style="129" customWidth="1"/>
    <col min="15623" max="15623" width="4" style="129" customWidth="1"/>
    <col min="15624" max="15624" width="16.42578125" style="129" customWidth="1"/>
    <col min="15625" max="15625" width="5.5703125" style="129" customWidth="1"/>
    <col min="15626" max="15626" width="8.7109375" style="129" customWidth="1"/>
    <col min="15627" max="15627" width="5.42578125" style="129" customWidth="1"/>
    <col min="15628" max="15628" width="4.42578125" style="129" customWidth="1"/>
    <col min="15629" max="15629" width="4.2109375" style="129" customWidth="1"/>
    <col min="15630" max="15630" width="3.0703125" style="129" customWidth="1"/>
    <col min="15631" max="15631" width="4.5703125" style="129" customWidth="1"/>
    <col min="15632" max="15632" width="4.42578125" style="129" customWidth="1"/>
    <col min="15633" max="15633" width="4" style="129" customWidth="1"/>
    <col min="15634" max="15634" width="3" style="129" customWidth="1"/>
    <col min="15635" max="15635" width="3.92578125" style="129" customWidth="1"/>
    <col min="15636" max="15636" width="4.42578125" style="129" customWidth="1"/>
    <col min="15637" max="15637" width="3.42578125" style="129" customWidth="1"/>
    <col min="15638" max="15638" width="4.92578125" style="129" customWidth="1"/>
    <col min="15639" max="15639" width="10.5703125" style="129" customWidth="1"/>
    <col min="15640" max="15640" width="7.0703125" style="129" customWidth="1"/>
    <col min="15641" max="15641" width="8.0703125" style="129" customWidth="1"/>
    <col min="15642" max="15642" width="7.5703125" style="129" customWidth="1"/>
    <col min="15643" max="15644" width="7.7109375" style="129" customWidth="1"/>
    <col min="15645" max="15645" width="7.0703125" style="129" customWidth="1"/>
    <col min="15646" max="15871" width="9.140625" style="129"/>
    <col min="15872" max="15872" width="4.42578125" style="129" customWidth="1"/>
    <col min="15873" max="15873" width="20.5703125" style="129" customWidth="1"/>
    <col min="15874" max="15874" width="12.42578125" style="129" customWidth="1"/>
    <col min="15875" max="15875" width="12.5703125" style="129" customWidth="1"/>
    <col min="15876" max="15876" width="3.92578125" style="129" customWidth="1"/>
    <col min="15877" max="15877" width="4.2109375" style="129" customWidth="1"/>
    <col min="15878" max="15878" width="4.0703125" style="129" customWidth="1"/>
    <col min="15879" max="15879" width="4" style="129" customWidth="1"/>
    <col min="15880" max="15880" width="16.42578125" style="129" customWidth="1"/>
    <col min="15881" max="15881" width="5.5703125" style="129" customWidth="1"/>
    <col min="15882" max="15882" width="8.7109375" style="129" customWidth="1"/>
    <col min="15883" max="15883" width="5.42578125" style="129" customWidth="1"/>
    <col min="15884" max="15884" width="4.42578125" style="129" customWidth="1"/>
    <col min="15885" max="15885" width="4.2109375" style="129" customWidth="1"/>
    <col min="15886" max="15886" width="3.0703125" style="129" customWidth="1"/>
    <col min="15887" max="15887" width="4.5703125" style="129" customWidth="1"/>
    <col min="15888" max="15888" width="4.42578125" style="129" customWidth="1"/>
    <col min="15889" max="15889" width="4" style="129" customWidth="1"/>
    <col min="15890" max="15890" width="3" style="129" customWidth="1"/>
    <col min="15891" max="15891" width="3.92578125" style="129" customWidth="1"/>
    <col min="15892" max="15892" width="4.42578125" style="129" customWidth="1"/>
    <col min="15893" max="15893" width="3.42578125" style="129" customWidth="1"/>
    <col min="15894" max="15894" width="4.92578125" style="129" customWidth="1"/>
    <col min="15895" max="15895" width="10.5703125" style="129" customWidth="1"/>
    <col min="15896" max="15896" width="7.0703125" style="129" customWidth="1"/>
    <col min="15897" max="15897" width="8.0703125" style="129" customWidth="1"/>
    <col min="15898" max="15898" width="7.5703125" style="129" customWidth="1"/>
    <col min="15899" max="15900" width="7.7109375" style="129" customWidth="1"/>
    <col min="15901" max="15901" width="7.0703125" style="129" customWidth="1"/>
    <col min="15902" max="16127" width="9.140625" style="129"/>
    <col min="16128" max="16128" width="4.42578125" style="129" customWidth="1"/>
    <col min="16129" max="16129" width="20.5703125" style="129" customWidth="1"/>
    <col min="16130" max="16130" width="12.42578125" style="129" customWidth="1"/>
    <col min="16131" max="16131" width="12.5703125" style="129" customWidth="1"/>
    <col min="16132" max="16132" width="3.92578125" style="129" customWidth="1"/>
    <col min="16133" max="16133" width="4.2109375" style="129" customWidth="1"/>
    <col min="16134" max="16134" width="4.0703125" style="129" customWidth="1"/>
    <col min="16135" max="16135" width="4" style="129" customWidth="1"/>
    <col min="16136" max="16136" width="16.42578125" style="129" customWidth="1"/>
    <col min="16137" max="16137" width="5.5703125" style="129" customWidth="1"/>
    <col min="16138" max="16138" width="8.7109375" style="129" customWidth="1"/>
    <col min="16139" max="16139" width="5.42578125" style="129" customWidth="1"/>
    <col min="16140" max="16140" width="4.42578125" style="129" customWidth="1"/>
    <col min="16141" max="16141" width="4.2109375" style="129" customWidth="1"/>
    <col min="16142" max="16142" width="3.0703125" style="129" customWidth="1"/>
    <col min="16143" max="16143" width="4.5703125" style="129" customWidth="1"/>
    <col min="16144" max="16144" width="4.42578125" style="129" customWidth="1"/>
    <col min="16145" max="16145" width="4" style="129" customWidth="1"/>
    <col min="16146" max="16146" width="3" style="129" customWidth="1"/>
    <col min="16147" max="16147" width="3.92578125" style="129" customWidth="1"/>
    <col min="16148" max="16148" width="4.42578125" style="129" customWidth="1"/>
    <col min="16149" max="16149" width="3.42578125" style="129" customWidth="1"/>
    <col min="16150" max="16150" width="4.92578125" style="129" customWidth="1"/>
    <col min="16151" max="16151" width="10.5703125" style="129" customWidth="1"/>
    <col min="16152" max="16152" width="7.0703125" style="129" customWidth="1"/>
    <col min="16153" max="16153" width="8.0703125" style="129" customWidth="1"/>
    <col min="16154" max="16154" width="7.5703125" style="129" customWidth="1"/>
    <col min="16155" max="16156" width="7.7109375" style="129" customWidth="1"/>
    <col min="16157" max="16157" width="7.0703125" style="129" customWidth="1"/>
    <col min="16158" max="16384" width="9.140625" style="129"/>
  </cols>
  <sheetData>
    <row r="1" spans="1:31">
      <c r="D1" s="3108" t="s">
        <v>186</v>
      </c>
      <c r="E1" s="3108"/>
      <c r="F1" s="3108"/>
      <c r="G1" s="3108"/>
      <c r="H1" s="3108"/>
      <c r="I1" s="3108"/>
      <c r="J1" s="3108"/>
      <c r="K1" s="3108"/>
      <c r="L1" s="3108"/>
      <c r="M1" s="3108"/>
      <c r="N1" s="3108"/>
      <c r="O1" s="3108"/>
      <c r="P1" s="3108"/>
      <c r="Q1" s="3108"/>
      <c r="R1" s="3108"/>
      <c r="S1" s="3108"/>
      <c r="T1" s="3108"/>
      <c r="U1" s="3108"/>
      <c r="V1" s="3108"/>
      <c r="W1" s="3108"/>
      <c r="X1" s="3108"/>
      <c r="Y1" s="3108"/>
      <c r="Z1" s="3108"/>
      <c r="AA1" s="3108"/>
      <c r="AB1" s="3108"/>
    </row>
    <row r="2" spans="1:31" ht="20.25" customHeight="1">
      <c r="D2" s="2247" t="s">
        <v>0</v>
      </c>
      <c r="E2" s="132" t="s">
        <v>1</v>
      </c>
      <c r="G2" s="133" t="s">
        <v>238</v>
      </c>
      <c r="J2" s="125"/>
    </row>
    <row r="3" spans="1:31" ht="19.5" customHeight="1">
      <c r="D3" s="136" t="s">
        <v>2</v>
      </c>
      <c r="E3" s="136"/>
      <c r="F3" s="136"/>
      <c r="G3" s="136"/>
      <c r="H3" s="136"/>
      <c r="I3" s="136"/>
      <c r="J3" s="136"/>
      <c r="K3" s="136"/>
      <c r="L3" s="136"/>
      <c r="M3" s="136"/>
      <c r="N3" s="136"/>
      <c r="O3" s="136"/>
      <c r="P3" s="136"/>
      <c r="Q3" s="136"/>
      <c r="R3" s="136"/>
      <c r="S3" s="136"/>
      <c r="T3" s="136"/>
      <c r="U3" s="136"/>
      <c r="V3" s="136"/>
    </row>
    <row r="4" spans="1:31" ht="19.5" customHeight="1">
      <c r="D4" s="136" t="s">
        <v>187</v>
      </c>
      <c r="E4" s="136"/>
      <c r="F4" s="136"/>
      <c r="G4" s="136"/>
      <c r="H4" s="136"/>
      <c r="I4" s="136"/>
      <c r="J4" s="136"/>
      <c r="K4" s="136"/>
      <c r="R4" s="136"/>
      <c r="S4" s="136"/>
      <c r="T4" s="136"/>
      <c r="U4" s="136"/>
      <c r="V4" s="136"/>
    </row>
    <row r="5" spans="1:31" ht="19.5" customHeight="1">
      <c r="D5" s="2247" t="s">
        <v>188</v>
      </c>
      <c r="E5" s="136"/>
      <c r="F5" s="136"/>
      <c r="G5" s="136"/>
      <c r="H5" s="136"/>
      <c r="I5" s="136"/>
      <c r="J5" s="136"/>
      <c r="K5" s="136" t="s">
        <v>3</v>
      </c>
      <c r="M5" s="178" t="s">
        <v>37</v>
      </c>
      <c r="N5" s="179" t="s">
        <v>11</v>
      </c>
      <c r="O5" s="180" t="s">
        <v>22</v>
      </c>
      <c r="P5" s="180" t="s">
        <v>23</v>
      </c>
      <c r="Q5" s="180" t="s">
        <v>24</v>
      </c>
      <c r="R5" s="180" t="s">
        <v>25</v>
      </c>
      <c r="S5" s="180" t="s">
        <v>26</v>
      </c>
      <c r="T5" s="180" t="s">
        <v>27</v>
      </c>
      <c r="U5" s="180" t="s">
        <v>28</v>
      </c>
      <c r="V5" s="180" t="s">
        <v>29</v>
      </c>
      <c r="W5" s="180" t="s">
        <v>30</v>
      </c>
      <c r="X5" s="180" t="s">
        <v>31</v>
      </c>
      <c r="Y5" s="180" t="s">
        <v>32</v>
      </c>
      <c r="Z5" s="180" t="s">
        <v>33</v>
      </c>
      <c r="AA5" s="2053" t="s">
        <v>2287</v>
      </c>
      <c r="AB5" s="2053" t="s">
        <v>2288</v>
      </c>
      <c r="AC5" s="2053" t="s">
        <v>2289</v>
      </c>
      <c r="AD5" s="2053" t="s">
        <v>2290</v>
      </c>
      <c r="AE5" s="2053" t="s">
        <v>2291</v>
      </c>
    </row>
    <row r="6" spans="1:31" ht="19.5" customHeight="1">
      <c r="D6" s="136" t="s">
        <v>4</v>
      </c>
      <c r="E6" s="136"/>
      <c r="F6" s="136"/>
      <c r="G6" s="136" t="s">
        <v>5</v>
      </c>
      <c r="H6" s="136"/>
      <c r="I6" s="136"/>
      <c r="J6" s="136"/>
      <c r="K6" s="136"/>
      <c r="M6" s="181">
        <v>11</v>
      </c>
      <c r="N6" s="181">
        <f>SUM(N11:N59)</f>
        <v>196460</v>
      </c>
      <c r="O6" s="181">
        <f>O11+O15+O18+O22+O28+O32+O37+O40+O43+O47+O51</f>
        <v>43920</v>
      </c>
      <c r="P6" s="181">
        <f t="shared" ref="P6:Z6" si="0">P11+P15+P18+P22+P28+P32+P37+P40+P43+P47+P51</f>
        <v>29200</v>
      </c>
      <c r="Q6" s="181">
        <f t="shared" si="0"/>
        <v>12830</v>
      </c>
      <c r="R6" s="181">
        <f t="shared" si="0"/>
        <v>4800</v>
      </c>
      <c r="S6" s="181">
        <f t="shared" si="0"/>
        <v>16560</v>
      </c>
      <c r="T6" s="181">
        <f t="shared" si="0"/>
        <v>0</v>
      </c>
      <c r="U6" s="181">
        <f t="shared" si="0"/>
        <v>0</v>
      </c>
      <c r="V6" s="181">
        <f t="shared" si="0"/>
        <v>2750</v>
      </c>
      <c r="W6" s="181">
        <f t="shared" si="0"/>
        <v>35000</v>
      </c>
      <c r="X6" s="181">
        <f t="shared" si="0"/>
        <v>0</v>
      </c>
      <c r="Y6" s="181">
        <f t="shared" si="0"/>
        <v>51400</v>
      </c>
      <c r="Z6" s="181">
        <f t="shared" si="0"/>
        <v>0</v>
      </c>
      <c r="AA6" s="2058">
        <f>N11+N15+N18+N22+N28+N37</f>
        <v>46460</v>
      </c>
      <c r="AB6" s="2058"/>
      <c r="AC6" s="2059">
        <f>N32+N40+N43+N47+N51</f>
        <v>150000</v>
      </c>
      <c r="AD6" s="2060"/>
      <c r="AE6" s="2060"/>
    </row>
    <row r="7" spans="1:31" ht="19.5" customHeight="1">
      <c r="D7" s="2248"/>
      <c r="E7" s="136"/>
      <c r="F7" s="136"/>
      <c r="G7" s="136"/>
      <c r="H7" s="136"/>
      <c r="I7" s="136"/>
      <c r="J7" s="136"/>
      <c r="K7" s="136"/>
      <c r="M7" s="182"/>
      <c r="N7" s="182"/>
      <c r="O7" s="183"/>
      <c r="P7" s="183"/>
      <c r="Q7" s="183">
        <f>O6+P6+Q6</f>
        <v>85950</v>
      </c>
      <c r="R7" s="183"/>
      <c r="S7" s="183"/>
      <c r="T7" s="183">
        <f>R6+S6+T6</f>
        <v>21360</v>
      </c>
      <c r="U7" s="183"/>
      <c r="V7" s="183"/>
      <c r="W7" s="183">
        <f>U6+V6+W6</f>
        <v>37750</v>
      </c>
      <c r="X7" s="183"/>
      <c r="Y7" s="183"/>
      <c r="Z7" s="183">
        <f>X6+Y6+Z6</f>
        <v>51400</v>
      </c>
    </row>
    <row r="8" spans="1:31" ht="25.5" customHeight="1">
      <c r="A8" s="137" t="s">
        <v>34</v>
      </c>
      <c r="B8" s="138"/>
      <c r="C8" s="139"/>
      <c r="D8" s="3109" t="s">
        <v>6</v>
      </c>
      <c r="E8" s="3112" t="s">
        <v>7</v>
      </c>
      <c r="F8" s="3112" t="s">
        <v>8</v>
      </c>
      <c r="G8" s="3112" t="s">
        <v>9</v>
      </c>
      <c r="H8" s="3115" t="s">
        <v>10</v>
      </c>
      <c r="I8" s="3116"/>
      <c r="J8" s="3116"/>
      <c r="K8" s="3117"/>
      <c r="L8" s="3121" t="s">
        <v>11</v>
      </c>
      <c r="M8" s="3122"/>
      <c r="N8" s="3125" t="s">
        <v>12</v>
      </c>
      <c r="O8" s="3128" t="s">
        <v>13</v>
      </c>
      <c r="P8" s="3128"/>
      <c r="Q8" s="3128"/>
      <c r="R8" s="3128"/>
      <c r="S8" s="3128"/>
      <c r="T8" s="3128"/>
      <c r="U8" s="3128"/>
      <c r="V8" s="3128"/>
      <c r="W8" s="3128"/>
      <c r="X8" s="3128"/>
      <c r="Y8" s="3128"/>
      <c r="Z8" s="3128"/>
      <c r="AA8" s="3112" t="s">
        <v>14</v>
      </c>
      <c r="AB8" s="3129" t="s">
        <v>15</v>
      </c>
    </row>
    <row r="9" spans="1:31">
      <c r="A9" s="140"/>
      <c r="B9" s="141"/>
      <c r="C9" s="142"/>
      <c r="D9" s="3110"/>
      <c r="E9" s="3113"/>
      <c r="F9" s="3113"/>
      <c r="G9" s="3113"/>
      <c r="H9" s="3118"/>
      <c r="I9" s="3119"/>
      <c r="J9" s="3119"/>
      <c r="K9" s="3120"/>
      <c r="L9" s="3123"/>
      <c r="M9" s="3124"/>
      <c r="N9" s="3126"/>
      <c r="O9" s="3128" t="s">
        <v>16</v>
      </c>
      <c r="P9" s="3128"/>
      <c r="Q9" s="3128"/>
      <c r="R9" s="3128" t="s">
        <v>17</v>
      </c>
      <c r="S9" s="3128"/>
      <c r="T9" s="3128"/>
      <c r="U9" s="3128" t="s">
        <v>18</v>
      </c>
      <c r="V9" s="3128"/>
      <c r="W9" s="3128"/>
      <c r="X9" s="3128" t="s">
        <v>19</v>
      </c>
      <c r="Y9" s="3128"/>
      <c r="Z9" s="3128"/>
      <c r="AA9" s="3113"/>
      <c r="AB9" s="3129"/>
    </row>
    <row r="10" spans="1:31">
      <c r="A10" s="128" t="s">
        <v>36</v>
      </c>
      <c r="B10" s="128" t="s">
        <v>35</v>
      </c>
      <c r="C10" s="128" t="s">
        <v>37</v>
      </c>
      <c r="D10" s="3111"/>
      <c r="E10" s="3114"/>
      <c r="F10" s="3114"/>
      <c r="G10" s="3114"/>
      <c r="H10" s="90">
        <v>1</v>
      </c>
      <c r="I10" s="90">
        <v>2</v>
      </c>
      <c r="J10" s="90">
        <v>3</v>
      </c>
      <c r="K10" s="90">
        <v>4</v>
      </c>
      <c r="L10" s="122" t="s">
        <v>20</v>
      </c>
      <c r="M10" s="91" t="s">
        <v>21</v>
      </c>
      <c r="N10" s="3127"/>
      <c r="O10" s="2249" t="s">
        <v>22</v>
      </c>
      <c r="P10" s="2249" t="s">
        <v>23</v>
      </c>
      <c r="Q10" s="2249" t="s">
        <v>24</v>
      </c>
      <c r="R10" s="2249" t="s">
        <v>25</v>
      </c>
      <c r="S10" s="2249" t="s">
        <v>26</v>
      </c>
      <c r="T10" s="2249" t="s">
        <v>27</v>
      </c>
      <c r="U10" s="2249" t="s">
        <v>28</v>
      </c>
      <c r="V10" s="2249" t="s">
        <v>29</v>
      </c>
      <c r="W10" s="2249" t="s">
        <v>30</v>
      </c>
      <c r="X10" s="2249" t="s">
        <v>31</v>
      </c>
      <c r="Y10" s="2249" t="s">
        <v>32</v>
      </c>
      <c r="Z10" s="2249" t="s">
        <v>33</v>
      </c>
      <c r="AA10" s="3114"/>
      <c r="AB10" s="3129"/>
    </row>
    <row r="11" spans="1:31">
      <c r="A11" s="156">
        <v>2</v>
      </c>
      <c r="B11" s="156">
        <v>6</v>
      </c>
      <c r="C11" s="156">
        <v>15</v>
      </c>
      <c r="D11" s="2354">
        <v>1</v>
      </c>
      <c r="E11" s="2355" t="s">
        <v>2546</v>
      </c>
      <c r="F11" s="159"/>
      <c r="G11" s="159"/>
      <c r="H11" s="160"/>
      <c r="I11" s="2356"/>
      <c r="J11" s="2356"/>
      <c r="K11" s="160"/>
      <c r="L11" s="161"/>
      <c r="M11" s="162"/>
      <c r="N11" s="163">
        <f>SUM(M12:M14)</f>
        <v>9600</v>
      </c>
      <c r="O11" s="2372">
        <f>SUM(O12:O14)</f>
        <v>0</v>
      </c>
      <c r="P11" s="2372">
        <f t="shared" ref="P11:Z11" si="1">SUM(P12:P14)</f>
        <v>0</v>
      </c>
      <c r="Q11" s="2372">
        <f t="shared" si="1"/>
        <v>0</v>
      </c>
      <c r="R11" s="2372">
        <f t="shared" si="1"/>
        <v>4800</v>
      </c>
      <c r="S11" s="2372">
        <f t="shared" si="1"/>
        <v>0</v>
      </c>
      <c r="T11" s="2372">
        <f t="shared" si="1"/>
        <v>0</v>
      </c>
      <c r="U11" s="2372">
        <f t="shared" si="1"/>
        <v>0</v>
      </c>
      <c r="V11" s="2372">
        <f t="shared" si="1"/>
        <v>0</v>
      </c>
      <c r="W11" s="2372">
        <f t="shared" si="1"/>
        <v>4800</v>
      </c>
      <c r="X11" s="2372">
        <f t="shared" si="1"/>
        <v>0</v>
      </c>
      <c r="Y11" s="2372">
        <f t="shared" si="1"/>
        <v>0</v>
      </c>
      <c r="Z11" s="2372">
        <f t="shared" si="1"/>
        <v>0</v>
      </c>
      <c r="AA11" s="159" t="s">
        <v>2619</v>
      </c>
      <c r="AB11" s="2357" t="s">
        <v>280</v>
      </c>
    </row>
    <row r="12" spans="1:31" ht="198" customHeight="1">
      <c r="A12" s="128"/>
      <c r="B12" s="128"/>
      <c r="C12" s="128"/>
      <c r="D12" s="373">
        <v>1</v>
      </c>
      <c r="E12" s="93"/>
      <c r="F12" s="93" t="s">
        <v>2547</v>
      </c>
      <c r="G12" s="94" t="s">
        <v>2548</v>
      </c>
      <c r="H12" s="95"/>
      <c r="I12" s="2250" t="s">
        <v>2549</v>
      </c>
      <c r="J12" s="2250" t="s">
        <v>2549</v>
      </c>
      <c r="K12" s="95"/>
      <c r="L12" s="93" t="s">
        <v>2550</v>
      </c>
      <c r="M12" s="96">
        <v>1400</v>
      </c>
      <c r="N12" s="386"/>
      <c r="O12" s="96"/>
      <c r="P12" s="96"/>
      <c r="Q12" s="369"/>
      <c r="R12" s="2251">
        <v>4800</v>
      </c>
      <c r="S12" s="96"/>
      <c r="T12" s="96"/>
      <c r="U12" s="96"/>
      <c r="V12" s="96"/>
      <c r="W12" s="96">
        <v>4800</v>
      </c>
      <c r="X12" s="96"/>
      <c r="Y12" s="96"/>
      <c r="Z12" s="96"/>
      <c r="AA12" s="97" t="s">
        <v>2551</v>
      </c>
      <c r="AB12" s="98" t="s">
        <v>280</v>
      </c>
    </row>
    <row r="13" spans="1:31" ht="44.25" customHeight="1">
      <c r="A13" s="128"/>
      <c r="B13" s="128"/>
      <c r="C13" s="128"/>
      <c r="D13" s="363"/>
      <c r="E13" s="93"/>
      <c r="F13" s="93"/>
      <c r="G13" s="94"/>
      <c r="H13" s="95"/>
      <c r="I13" s="95"/>
      <c r="J13" s="95"/>
      <c r="K13" s="95"/>
      <c r="L13" s="2252" t="s">
        <v>2552</v>
      </c>
      <c r="M13" s="2253">
        <v>1000</v>
      </c>
      <c r="N13" s="369"/>
      <c r="O13" s="96"/>
      <c r="P13" s="96"/>
      <c r="Q13" s="96"/>
      <c r="R13" s="96"/>
      <c r="S13" s="96"/>
      <c r="T13" s="96"/>
      <c r="U13" s="96"/>
      <c r="V13" s="96"/>
      <c r="W13" s="96"/>
      <c r="X13" s="96"/>
      <c r="Y13" s="96"/>
      <c r="Z13" s="96"/>
      <c r="AA13" s="97"/>
      <c r="AB13" s="98"/>
    </row>
    <row r="14" spans="1:31" ht="40.5" customHeight="1">
      <c r="A14" s="128"/>
      <c r="B14" s="128"/>
      <c r="C14" s="128"/>
      <c r="D14" s="363"/>
      <c r="E14" s="93"/>
      <c r="F14" s="93"/>
      <c r="G14" s="93"/>
      <c r="H14" s="95"/>
      <c r="I14" s="95"/>
      <c r="J14" s="95"/>
      <c r="K14" s="95"/>
      <c r="L14" s="2252" t="s">
        <v>2553</v>
      </c>
      <c r="M14" s="2253">
        <v>7200</v>
      </c>
      <c r="N14" s="369"/>
      <c r="O14" s="96"/>
      <c r="P14" s="96"/>
      <c r="Q14" s="96"/>
      <c r="R14" s="96"/>
      <c r="S14" s="96"/>
      <c r="T14" s="96"/>
      <c r="U14" s="96"/>
      <c r="V14" s="96"/>
      <c r="W14" s="96"/>
      <c r="X14" s="96"/>
      <c r="Y14" s="96"/>
      <c r="Z14" s="96"/>
      <c r="AA14" s="97"/>
      <c r="AB14" s="98"/>
    </row>
    <row r="15" spans="1:31" ht="21.45" customHeight="1">
      <c r="A15" s="156">
        <v>2</v>
      </c>
      <c r="B15" s="156">
        <v>6</v>
      </c>
      <c r="C15" s="156">
        <v>15</v>
      </c>
      <c r="D15" s="2358">
        <v>2</v>
      </c>
      <c r="E15" s="2359" t="s">
        <v>2554</v>
      </c>
      <c r="F15" s="2360"/>
      <c r="G15" s="2360"/>
      <c r="H15" s="2361"/>
      <c r="I15" s="2361"/>
      <c r="J15" s="2361"/>
      <c r="K15" s="2361"/>
      <c r="L15" s="2362"/>
      <c r="M15" s="2363"/>
      <c r="N15" s="1656">
        <f>SUM(M16:M17)</f>
        <v>1900</v>
      </c>
      <c r="O15" s="162">
        <f>SUM(O16:O17)</f>
        <v>0</v>
      </c>
      <c r="P15" s="162">
        <f t="shared" ref="P15:Z15" si="2">SUM(P16:P17)</f>
        <v>0</v>
      </c>
      <c r="Q15" s="162">
        <f t="shared" si="2"/>
        <v>950</v>
      </c>
      <c r="R15" s="162">
        <f t="shared" si="2"/>
        <v>0</v>
      </c>
      <c r="S15" s="162">
        <f t="shared" si="2"/>
        <v>0</v>
      </c>
      <c r="T15" s="162">
        <f t="shared" si="2"/>
        <v>0</v>
      </c>
      <c r="U15" s="162">
        <f t="shared" si="2"/>
        <v>0</v>
      </c>
      <c r="V15" s="162">
        <f t="shared" si="2"/>
        <v>950</v>
      </c>
      <c r="W15" s="162">
        <f t="shared" si="2"/>
        <v>0</v>
      </c>
      <c r="X15" s="162">
        <f t="shared" si="2"/>
        <v>0</v>
      </c>
      <c r="Y15" s="162">
        <f t="shared" si="2"/>
        <v>0</v>
      </c>
      <c r="Z15" s="162">
        <f t="shared" si="2"/>
        <v>0</v>
      </c>
      <c r="AA15" s="159" t="s">
        <v>2619</v>
      </c>
      <c r="AB15" s="2357" t="s">
        <v>280</v>
      </c>
    </row>
    <row r="16" spans="1:31" ht="96.65" customHeight="1">
      <c r="A16" s="128"/>
      <c r="B16" s="128"/>
      <c r="C16" s="128"/>
      <c r="D16" s="363">
        <v>2</v>
      </c>
      <c r="F16" s="2252" t="s">
        <v>2555</v>
      </c>
      <c r="G16" s="130" t="s">
        <v>2556</v>
      </c>
      <c r="H16" s="2250" t="s">
        <v>2549</v>
      </c>
      <c r="I16" s="2250" t="s">
        <v>2549</v>
      </c>
      <c r="J16" s="2250" t="s">
        <v>2549</v>
      </c>
      <c r="K16" s="2250" t="s">
        <v>2549</v>
      </c>
      <c r="L16" s="130" t="s">
        <v>2557</v>
      </c>
      <c r="M16" s="2254">
        <v>1400</v>
      </c>
      <c r="N16" s="2255"/>
      <c r="O16" s="96"/>
      <c r="P16" s="96"/>
      <c r="Q16" s="96">
        <v>950</v>
      </c>
      <c r="R16" s="96"/>
      <c r="S16" s="96"/>
      <c r="T16" s="96"/>
      <c r="U16" s="96"/>
      <c r="V16" s="96">
        <v>950</v>
      </c>
      <c r="W16" s="96"/>
      <c r="X16" s="96"/>
      <c r="Y16" s="96"/>
      <c r="Z16" s="96"/>
      <c r="AA16" s="100" t="s">
        <v>2558</v>
      </c>
      <c r="AB16" s="363" t="s">
        <v>893</v>
      </c>
    </row>
    <row r="17" spans="1:28" ht="47.4" customHeight="1">
      <c r="A17" s="128"/>
      <c r="B17" s="128"/>
      <c r="C17" s="128"/>
      <c r="D17" s="363"/>
      <c r="E17" s="150"/>
      <c r="F17" s="2252"/>
      <c r="G17" s="130"/>
      <c r="H17" s="2250" t="s">
        <v>2549</v>
      </c>
      <c r="I17" s="2250" t="s">
        <v>2549</v>
      </c>
      <c r="J17" s="2250" t="s">
        <v>2549</v>
      </c>
      <c r="K17" s="2250" t="s">
        <v>2549</v>
      </c>
      <c r="L17" s="130" t="s">
        <v>2559</v>
      </c>
      <c r="M17" s="2254">
        <v>500</v>
      </c>
      <c r="N17" s="2255"/>
      <c r="O17" s="96"/>
      <c r="P17" s="96"/>
      <c r="Q17" s="96"/>
      <c r="R17" s="96"/>
      <c r="S17" s="96"/>
      <c r="T17" s="96"/>
      <c r="U17" s="96"/>
      <c r="V17" s="96"/>
      <c r="W17" s="96"/>
      <c r="X17" s="96"/>
      <c r="Y17" s="96"/>
      <c r="Z17" s="96"/>
      <c r="AA17" s="100"/>
      <c r="AB17" s="363"/>
    </row>
    <row r="18" spans="1:28" ht="27.9" customHeight="1">
      <c r="A18" s="156">
        <v>2</v>
      </c>
      <c r="B18" s="156">
        <v>6</v>
      </c>
      <c r="C18" s="156">
        <v>15</v>
      </c>
      <c r="D18" s="2364">
        <v>3</v>
      </c>
      <c r="E18" s="2365" t="s">
        <v>2560</v>
      </c>
      <c r="F18" s="2366"/>
      <c r="G18" s="2367"/>
      <c r="H18" s="2368"/>
      <c r="I18" s="2368"/>
      <c r="J18" s="2368"/>
      <c r="K18" s="2368"/>
      <c r="L18" s="168"/>
      <c r="M18" s="2369"/>
      <c r="N18" s="2370">
        <f>SUM(M19:M21)</f>
        <v>1800</v>
      </c>
      <c r="O18" s="162">
        <f>SUM(O19:O21)</f>
        <v>0</v>
      </c>
      <c r="P18" s="162">
        <f t="shared" ref="P18:Z18" si="3">SUM(P19:P21)</f>
        <v>0</v>
      </c>
      <c r="Q18" s="162">
        <f t="shared" si="3"/>
        <v>0</v>
      </c>
      <c r="R18" s="162">
        <f t="shared" si="3"/>
        <v>0</v>
      </c>
      <c r="S18" s="162">
        <f t="shared" si="3"/>
        <v>0</v>
      </c>
      <c r="T18" s="162">
        <f t="shared" si="3"/>
        <v>0</v>
      </c>
      <c r="U18" s="162">
        <f t="shared" si="3"/>
        <v>0</v>
      </c>
      <c r="V18" s="162">
        <f t="shared" si="3"/>
        <v>1800</v>
      </c>
      <c r="W18" s="162">
        <f t="shared" si="3"/>
        <v>0</v>
      </c>
      <c r="X18" s="162">
        <f t="shared" si="3"/>
        <v>0</v>
      </c>
      <c r="Y18" s="162">
        <f t="shared" si="3"/>
        <v>0</v>
      </c>
      <c r="Z18" s="162">
        <f t="shared" si="3"/>
        <v>0</v>
      </c>
      <c r="AA18" s="159" t="s">
        <v>2619</v>
      </c>
      <c r="AB18" s="2357" t="s">
        <v>280</v>
      </c>
    </row>
    <row r="19" spans="1:28" ht="66.900000000000006" customHeight="1">
      <c r="A19" s="2256"/>
      <c r="B19" s="2256"/>
      <c r="C19" s="2256"/>
      <c r="F19" s="2257" t="s">
        <v>2561</v>
      </c>
      <c r="G19" s="2258" t="s">
        <v>2562</v>
      </c>
      <c r="H19" s="2257"/>
      <c r="I19" s="2250"/>
      <c r="J19" s="2250" t="s">
        <v>2549</v>
      </c>
      <c r="K19" s="2250"/>
      <c r="L19" s="100" t="s">
        <v>2563</v>
      </c>
      <c r="M19" s="2259">
        <v>1050</v>
      </c>
      <c r="N19" s="2260"/>
      <c r="O19" s="2261"/>
      <c r="P19" s="2262"/>
      <c r="Q19" s="2262"/>
      <c r="R19" s="2262"/>
      <c r="S19" s="2262"/>
      <c r="T19" s="2262"/>
      <c r="U19" s="2262"/>
      <c r="V19" s="2263">
        <v>1800</v>
      </c>
      <c r="W19" s="2262"/>
      <c r="X19" s="2262"/>
      <c r="Y19" s="2262"/>
      <c r="Z19" s="2262"/>
      <c r="AA19" s="104" t="s">
        <v>2564</v>
      </c>
      <c r="AB19" s="363" t="s">
        <v>280</v>
      </c>
    </row>
    <row r="20" spans="1:28" ht="44.25" customHeight="1">
      <c r="A20" s="2256"/>
      <c r="B20" s="2256"/>
      <c r="C20" s="2256"/>
      <c r="D20" s="363"/>
      <c r="E20" s="2264"/>
      <c r="F20" s="2265"/>
      <c r="G20" s="2266"/>
      <c r="H20" s="2265"/>
      <c r="I20" s="2267"/>
      <c r="J20" s="2267"/>
      <c r="K20" s="2267"/>
      <c r="L20" s="100" t="s">
        <v>2565</v>
      </c>
      <c r="M20" s="2259">
        <v>750</v>
      </c>
      <c r="N20" s="2268"/>
      <c r="O20" s="2261"/>
      <c r="P20" s="2262"/>
      <c r="Q20" s="2262"/>
      <c r="R20" s="2262"/>
      <c r="S20" s="2262"/>
      <c r="T20" s="2262"/>
      <c r="U20" s="2262"/>
      <c r="V20" s="2262"/>
      <c r="W20" s="2262"/>
      <c r="X20" s="2262"/>
      <c r="Y20" s="2262"/>
      <c r="Z20" s="2262"/>
      <c r="AA20" s="104"/>
      <c r="AB20" s="363"/>
    </row>
    <row r="21" spans="1:28" ht="39.75" customHeight="1">
      <c r="A21" s="2256"/>
      <c r="B21" s="2256"/>
      <c r="C21" s="2256"/>
      <c r="D21" s="363"/>
      <c r="E21" s="2269"/>
      <c r="F21" s="2270"/>
      <c r="G21" s="2271"/>
      <c r="H21" s="2272"/>
      <c r="I21" s="2273"/>
      <c r="J21" s="2274"/>
      <c r="K21" s="2274"/>
      <c r="L21" s="147"/>
      <c r="M21" s="2275"/>
      <c r="N21" s="2276"/>
      <c r="O21" s="2277"/>
      <c r="P21" s="2262"/>
      <c r="Q21" s="2262"/>
      <c r="R21" s="2262"/>
      <c r="S21" s="2262"/>
      <c r="T21" s="2262"/>
      <c r="U21" s="2262"/>
      <c r="V21" s="2262"/>
      <c r="W21" s="2262"/>
      <c r="X21" s="2262"/>
      <c r="Y21" s="2262"/>
      <c r="Z21" s="2262"/>
      <c r="AA21" s="2278"/>
      <c r="AB21" s="363"/>
    </row>
    <row r="22" spans="1:28" ht="39.75" customHeight="1">
      <c r="A22" s="2358">
        <v>2</v>
      </c>
      <c r="B22" s="2358">
        <v>6</v>
      </c>
      <c r="C22" s="2358">
        <v>15</v>
      </c>
      <c r="D22" s="2364">
        <v>4</v>
      </c>
      <c r="E22" s="2373" t="s">
        <v>2566</v>
      </c>
      <c r="F22" s="2374"/>
      <c r="G22" s="2375"/>
      <c r="H22" s="2376"/>
      <c r="I22" s="2377"/>
      <c r="J22" s="2378"/>
      <c r="K22" s="2378"/>
      <c r="L22" s="2379"/>
      <c r="M22" s="2380"/>
      <c r="N22" s="2381">
        <f>SUM(M23:M27)</f>
        <v>10680</v>
      </c>
      <c r="O22" s="2382">
        <f>SUM(O23:O27)</f>
        <v>0</v>
      </c>
      <c r="P22" s="2382">
        <f t="shared" ref="P22:Z22" si="4">SUM(P23:P27)</f>
        <v>10680</v>
      </c>
      <c r="Q22" s="2382">
        <f t="shared" si="4"/>
        <v>0</v>
      </c>
      <c r="R22" s="2382">
        <f t="shared" si="4"/>
        <v>0</v>
      </c>
      <c r="S22" s="2382">
        <f t="shared" si="4"/>
        <v>0</v>
      </c>
      <c r="T22" s="2382">
        <f t="shared" si="4"/>
        <v>0</v>
      </c>
      <c r="U22" s="2382">
        <f t="shared" si="4"/>
        <v>0</v>
      </c>
      <c r="V22" s="2382">
        <f t="shared" si="4"/>
        <v>0</v>
      </c>
      <c r="W22" s="2382">
        <f t="shared" si="4"/>
        <v>0</v>
      </c>
      <c r="X22" s="2382">
        <f t="shared" si="4"/>
        <v>0</v>
      </c>
      <c r="Y22" s="2382">
        <f t="shared" si="4"/>
        <v>0</v>
      </c>
      <c r="Z22" s="2382">
        <f t="shared" si="4"/>
        <v>0</v>
      </c>
      <c r="AA22" s="159" t="s">
        <v>2619</v>
      </c>
      <c r="AB22" s="2357" t="s">
        <v>280</v>
      </c>
    </row>
    <row r="23" spans="1:28" ht="99" customHeight="1">
      <c r="A23" s="2256"/>
      <c r="B23" s="2256"/>
      <c r="C23" s="2256"/>
      <c r="F23" s="2279" t="s">
        <v>2567</v>
      </c>
      <c r="G23" s="2279"/>
      <c r="H23" s="2280" t="s">
        <v>2549</v>
      </c>
      <c r="J23" s="2257"/>
      <c r="K23" s="2257"/>
      <c r="L23" s="130" t="s">
        <v>2568</v>
      </c>
      <c r="M23" s="2281">
        <v>1050</v>
      </c>
      <c r="N23" s="2282"/>
      <c r="O23" s="2283"/>
      <c r="P23" s="2284">
        <v>10680</v>
      </c>
      <c r="Q23" s="2284"/>
      <c r="R23" s="2284"/>
      <c r="S23" s="2285"/>
      <c r="T23" s="2284"/>
      <c r="U23" s="2284"/>
      <c r="V23" s="2284"/>
      <c r="W23" s="2284"/>
      <c r="X23" s="2284"/>
      <c r="Y23" s="2284"/>
      <c r="Z23" s="2284"/>
      <c r="AA23" s="104" t="s">
        <v>2564</v>
      </c>
      <c r="AB23" s="363" t="s">
        <v>280</v>
      </c>
    </row>
    <row r="24" spans="1:28" ht="37.299999999999997">
      <c r="A24" s="2256"/>
      <c r="B24" s="2256"/>
      <c r="C24" s="2256"/>
      <c r="D24" s="363"/>
      <c r="E24" s="2286"/>
      <c r="F24" s="2287"/>
      <c r="G24" s="2287"/>
      <c r="H24" s="2265"/>
      <c r="I24" s="2288"/>
      <c r="J24" s="2265"/>
      <c r="K24" s="2265"/>
      <c r="L24" s="100" t="s">
        <v>2569</v>
      </c>
      <c r="M24" s="2281">
        <v>750</v>
      </c>
      <c r="N24" s="2289"/>
      <c r="O24" s="2290"/>
      <c r="P24" s="144"/>
      <c r="Q24" s="144"/>
      <c r="R24" s="144"/>
      <c r="S24" s="144"/>
      <c r="T24" s="144"/>
      <c r="U24" s="144"/>
      <c r="V24" s="144"/>
      <c r="W24" s="144"/>
      <c r="X24" s="144"/>
      <c r="Y24" s="144"/>
      <c r="Z24" s="144"/>
      <c r="AA24" s="2291"/>
      <c r="AB24" s="2256"/>
    </row>
    <row r="25" spans="1:28" ht="65.25" customHeight="1">
      <c r="A25" s="2256"/>
      <c r="B25" s="2256"/>
      <c r="C25" s="2256"/>
      <c r="D25" s="363"/>
      <c r="E25" s="2286"/>
      <c r="F25" s="2287"/>
      <c r="G25" s="2287"/>
      <c r="H25" s="2265"/>
      <c r="I25" s="2288"/>
      <c r="J25" s="2265"/>
      <c r="K25" s="2265"/>
      <c r="L25" s="2252" t="s">
        <v>2570</v>
      </c>
      <c r="M25" s="2281">
        <v>3500</v>
      </c>
      <c r="N25" s="2289"/>
      <c r="O25" s="2292"/>
      <c r="P25" s="2293"/>
      <c r="Q25" s="2293"/>
      <c r="R25" s="2293"/>
      <c r="S25" s="2293"/>
      <c r="T25" s="2293"/>
      <c r="U25" s="2293"/>
      <c r="V25" s="2293"/>
      <c r="W25" s="2293"/>
      <c r="X25" s="2293"/>
      <c r="Y25" s="2293"/>
      <c r="Z25" s="2293"/>
      <c r="AA25" s="2294"/>
      <c r="AB25" s="2295"/>
    </row>
    <row r="26" spans="1:28" ht="41.25" customHeight="1">
      <c r="A26" s="2256"/>
      <c r="B26" s="2256"/>
      <c r="C26" s="2256"/>
      <c r="D26" s="373"/>
      <c r="E26" s="2286"/>
      <c r="F26" s="2296"/>
      <c r="G26" s="2287"/>
      <c r="H26" s="2265"/>
      <c r="I26" s="2288"/>
      <c r="J26" s="2265"/>
      <c r="K26" s="2265"/>
      <c r="L26" s="2297" t="s">
        <v>2571</v>
      </c>
      <c r="M26" s="2298">
        <v>2500</v>
      </c>
      <c r="N26" s="2289"/>
      <c r="O26" s="2299"/>
      <c r="P26" s="2300"/>
      <c r="Q26" s="2301"/>
      <c r="R26" s="2301"/>
      <c r="S26" s="2301"/>
      <c r="T26" s="2301"/>
      <c r="U26" s="2301"/>
      <c r="V26" s="2301"/>
      <c r="W26" s="2301"/>
      <c r="X26" s="2301"/>
      <c r="Y26" s="2301"/>
      <c r="Z26" s="2301"/>
      <c r="AA26" s="2302"/>
      <c r="AB26" s="2303"/>
    </row>
    <row r="27" spans="1:28" ht="71.150000000000006" customHeight="1">
      <c r="A27" s="2256"/>
      <c r="B27" s="2256"/>
      <c r="C27" s="2256"/>
      <c r="D27" s="363"/>
      <c r="E27" s="2286"/>
      <c r="F27" s="106"/>
      <c r="G27" s="2287"/>
      <c r="H27" s="2304"/>
      <c r="I27" s="2288"/>
      <c r="J27" s="2265"/>
      <c r="K27" s="2305"/>
      <c r="L27" s="2306" t="s">
        <v>2572</v>
      </c>
      <c r="M27" s="2307">
        <v>2880</v>
      </c>
      <c r="N27" s="2289"/>
      <c r="O27" s="2299"/>
      <c r="P27" s="2300"/>
      <c r="Q27" s="2301"/>
      <c r="R27" s="2301"/>
      <c r="S27" s="2301"/>
      <c r="T27" s="2301"/>
      <c r="U27" s="2301"/>
      <c r="V27" s="2301"/>
      <c r="W27" s="2301"/>
      <c r="X27" s="2301"/>
      <c r="Y27" s="2301"/>
      <c r="Z27" s="2301"/>
      <c r="AA27" s="2308"/>
      <c r="AB27" s="2303"/>
    </row>
    <row r="28" spans="1:28" ht="49.95" customHeight="1">
      <c r="A28" s="2358">
        <v>2</v>
      </c>
      <c r="B28" s="2358">
        <v>6</v>
      </c>
      <c r="C28" s="2358">
        <v>15</v>
      </c>
      <c r="D28" s="2364">
        <v>5</v>
      </c>
      <c r="E28" s="2359" t="s">
        <v>2573</v>
      </c>
      <c r="F28" s="2362"/>
      <c r="G28" s="2362"/>
      <c r="H28" s="2383"/>
      <c r="I28" s="2384"/>
      <c r="J28" s="2383"/>
      <c r="K28" s="2383"/>
      <c r="L28" s="168"/>
      <c r="M28" s="2385"/>
      <c r="N28" s="2386">
        <f>SUM(M29:M31)</f>
        <v>11880</v>
      </c>
      <c r="O28" s="2387">
        <f>SUM(O29:O31)</f>
        <v>0</v>
      </c>
      <c r="P28" s="2387">
        <f t="shared" ref="P28:Z28" si="5">SUM(P29:P31)</f>
        <v>0</v>
      </c>
      <c r="Q28" s="2387">
        <f t="shared" si="5"/>
        <v>11880</v>
      </c>
      <c r="R28" s="2387">
        <f t="shared" si="5"/>
        <v>0</v>
      </c>
      <c r="S28" s="2387">
        <f t="shared" si="5"/>
        <v>0</v>
      </c>
      <c r="T28" s="2387">
        <f t="shared" si="5"/>
        <v>0</v>
      </c>
      <c r="U28" s="2387">
        <f t="shared" si="5"/>
        <v>0</v>
      </c>
      <c r="V28" s="2387">
        <f t="shared" si="5"/>
        <v>0</v>
      </c>
      <c r="W28" s="2387">
        <f t="shared" si="5"/>
        <v>0</v>
      </c>
      <c r="X28" s="2387">
        <f t="shared" si="5"/>
        <v>0</v>
      </c>
      <c r="Y28" s="2387">
        <f t="shared" si="5"/>
        <v>0</v>
      </c>
      <c r="Z28" s="2387">
        <f t="shared" si="5"/>
        <v>0</v>
      </c>
      <c r="AA28" s="159" t="s">
        <v>2619</v>
      </c>
      <c r="AB28" s="2357" t="s">
        <v>280</v>
      </c>
    </row>
    <row r="29" spans="1:28" ht="112.2" customHeight="1">
      <c r="A29" s="2256"/>
      <c r="B29" s="2256"/>
      <c r="C29" s="2256"/>
      <c r="D29" s="373"/>
      <c r="E29" s="130" t="s">
        <v>2574</v>
      </c>
      <c r="F29" s="145" t="s">
        <v>2575</v>
      </c>
      <c r="G29" s="130" t="s">
        <v>2576</v>
      </c>
      <c r="H29" s="104" t="s">
        <v>2549</v>
      </c>
      <c r="I29" s="128"/>
      <c r="J29" s="128"/>
      <c r="K29" s="128"/>
      <c r="L29" s="130" t="s">
        <v>2577</v>
      </c>
      <c r="M29" s="2312">
        <v>4200</v>
      </c>
      <c r="N29" s="2313"/>
      <c r="O29" s="2314"/>
      <c r="P29" s="128"/>
      <c r="Q29" s="2315">
        <v>11880</v>
      </c>
      <c r="R29" s="128"/>
      <c r="S29" s="128"/>
      <c r="T29" s="128"/>
      <c r="U29" s="128"/>
      <c r="V29" s="128"/>
      <c r="W29" s="128"/>
      <c r="X29" s="128"/>
      <c r="Y29" s="128"/>
      <c r="Z29" s="128"/>
      <c r="AA29" s="2310" t="s">
        <v>2564</v>
      </c>
      <c r="AB29" s="2311" t="s">
        <v>280</v>
      </c>
    </row>
    <row r="30" spans="1:28" ht="39.65" customHeight="1">
      <c r="A30" s="2256"/>
      <c r="B30" s="2256"/>
      <c r="C30" s="2256"/>
      <c r="D30" s="373"/>
      <c r="E30" s="2252"/>
      <c r="F30" s="130"/>
      <c r="G30" s="2252"/>
      <c r="H30" s="128"/>
      <c r="I30" s="128"/>
      <c r="J30" s="128"/>
      <c r="K30" s="128"/>
      <c r="L30" s="130" t="s">
        <v>2578</v>
      </c>
      <c r="M30" s="2312">
        <v>3000</v>
      </c>
      <c r="N30" s="1557"/>
      <c r="O30" s="2314"/>
      <c r="P30" s="128"/>
      <c r="Q30" s="128"/>
      <c r="R30" s="128"/>
      <c r="S30" s="128"/>
      <c r="T30" s="128"/>
      <c r="U30" s="128"/>
      <c r="V30" s="128"/>
      <c r="W30" s="128"/>
      <c r="X30" s="128"/>
      <c r="Y30" s="128"/>
      <c r="Z30" s="128"/>
      <c r="AA30" s="2316"/>
      <c r="AB30" s="2311"/>
    </row>
    <row r="31" spans="1:28" ht="125.7" customHeight="1">
      <c r="A31" s="2256"/>
      <c r="B31" s="2256"/>
      <c r="C31" s="2256"/>
      <c r="D31" s="373"/>
      <c r="E31" s="2252" t="s">
        <v>2579</v>
      </c>
      <c r="F31" s="130" t="s">
        <v>2580</v>
      </c>
      <c r="G31" s="2252" t="s">
        <v>2581</v>
      </c>
      <c r="H31" s="104" t="s">
        <v>2549</v>
      </c>
      <c r="I31" s="128"/>
      <c r="J31" s="128"/>
      <c r="K31" s="128"/>
      <c r="L31" s="130" t="s">
        <v>2582</v>
      </c>
      <c r="M31" s="2317">
        <v>4680</v>
      </c>
      <c r="N31" s="2318"/>
      <c r="O31" s="2283"/>
      <c r="P31" s="2284"/>
      <c r="Q31" s="2284"/>
      <c r="R31" s="2284"/>
      <c r="S31" s="2285"/>
      <c r="T31" s="2284"/>
      <c r="U31" s="2284"/>
      <c r="V31" s="2284"/>
      <c r="W31" s="2284"/>
      <c r="X31" s="2284"/>
      <c r="Y31" s="2284"/>
      <c r="Z31" s="2284"/>
      <c r="AA31" s="2316"/>
      <c r="AB31" s="2311"/>
    </row>
    <row r="32" spans="1:28" ht="29.15" customHeight="1" thickBot="1">
      <c r="A32" s="2358">
        <v>2</v>
      </c>
      <c r="B32" s="2358">
        <v>6</v>
      </c>
      <c r="C32" s="2358">
        <v>15</v>
      </c>
      <c r="D32" s="2364">
        <v>6</v>
      </c>
      <c r="E32" s="2368" t="s">
        <v>2583</v>
      </c>
      <c r="F32" s="2367"/>
      <c r="G32" s="2366"/>
      <c r="H32" s="2383"/>
      <c r="I32" s="156"/>
      <c r="J32" s="2388"/>
      <c r="K32" s="156"/>
      <c r="L32" s="2389"/>
      <c r="M32" s="2390"/>
      <c r="N32" s="2391">
        <f>SUM(M33:M36)</f>
        <v>30200</v>
      </c>
      <c r="O32" s="2392">
        <f>SUM(O33:O36)</f>
        <v>0</v>
      </c>
      <c r="P32" s="2392">
        <f t="shared" ref="P32:Z32" si="6">SUM(P33:P36)</f>
        <v>0</v>
      </c>
      <c r="Q32" s="2392">
        <f t="shared" si="6"/>
        <v>0</v>
      </c>
      <c r="R32" s="2392">
        <f t="shared" si="6"/>
        <v>0</v>
      </c>
      <c r="S32" s="2392">
        <f t="shared" si="6"/>
        <v>0</v>
      </c>
      <c r="T32" s="2392">
        <f t="shared" si="6"/>
        <v>0</v>
      </c>
      <c r="U32" s="2392">
        <f t="shared" si="6"/>
        <v>0</v>
      </c>
      <c r="V32" s="2392">
        <f t="shared" si="6"/>
        <v>0</v>
      </c>
      <c r="W32" s="2392">
        <f t="shared" si="6"/>
        <v>30200</v>
      </c>
      <c r="X32" s="2392">
        <f t="shared" si="6"/>
        <v>0</v>
      </c>
      <c r="Y32" s="2392">
        <f t="shared" si="6"/>
        <v>0</v>
      </c>
      <c r="Z32" s="2392">
        <f t="shared" si="6"/>
        <v>0</v>
      </c>
      <c r="AA32" s="159" t="s">
        <v>2619</v>
      </c>
      <c r="AB32" s="2357" t="s">
        <v>2588</v>
      </c>
    </row>
    <row r="33" spans="1:28" ht="89.7" customHeight="1">
      <c r="A33" s="128"/>
      <c r="B33" s="128"/>
      <c r="C33" s="128"/>
      <c r="F33" s="2257" t="s">
        <v>2584</v>
      </c>
      <c r="G33" s="2279" t="s">
        <v>2585</v>
      </c>
      <c r="H33" s="98"/>
      <c r="I33" s="98"/>
      <c r="J33" s="3105" t="s">
        <v>2549</v>
      </c>
      <c r="K33" s="98"/>
      <c r="L33" s="2319" t="s">
        <v>2586</v>
      </c>
      <c r="M33" s="2320">
        <v>26000</v>
      </c>
      <c r="N33" s="2321"/>
      <c r="O33" s="2256"/>
      <c r="P33" s="2256"/>
      <c r="Q33" s="2322"/>
      <c r="R33" s="2256"/>
      <c r="S33" s="2322"/>
      <c r="T33" s="2256"/>
      <c r="U33" s="2256"/>
      <c r="V33" s="2256"/>
      <c r="W33" s="2322">
        <v>30200</v>
      </c>
      <c r="X33" s="2256"/>
      <c r="Y33" s="2256"/>
      <c r="Z33" s="2256"/>
      <c r="AA33" s="104" t="s">
        <v>2587</v>
      </c>
      <c r="AB33" s="584" t="s">
        <v>2588</v>
      </c>
    </row>
    <row r="34" spans="1:28" ht="66.75" customHeight="1">
      <c r="A34" s="128"/>
      <c r="B34" s="128"/>
      <c r="C34" s="128"/>
      <c r="D34" s="98"/>
      <c r="E34" s="100"/>
      <c r="F34" s="100"/>
      <c r="G34" s="100"/>
      <c r="H34" s="95"/>
      <c r="I34" s="98"/>
      <c r="J34" s="3106"/>
      <c r="K34" s="98"/>
      <c r="L34" s="2323" t="s">
        <v>2589</v>
      </c>
      <c r="M34" s="2322">
        <v>2450</v>
      </c>
      <c r="N34" s="1700"/>
      <c r="O34" s="2256"/>
      <c r="P34" s="2256"/>
      <c r="Q34" s="2256"/>
      <c r="R34" s="2256"/>
      <c r="S34" s="2256"/>
      <c r="T34" s="2256"/>
      <c r="U34" s="2256"/>
      <c r="V34" s="2256"/>
      <c r="W34" s="2256"/>
      <c r="X34" s="2256"/>
      <c r="Y34" s="2256"/>
      <c r="Z34" s="2256"/>
      <c r="AA34" s="2316"/>
      <c r="AB34" s="2316"/>
    </row>
    <row r="35" spans="1:28" ht="63.75" customHeight="1">
      <c r="A35" s="128"/>
      <c r="B35" s="128"/>
      <c r="C35" s="128"/>
      <c r="D35" s="98"/>
      <c r="E35" s="100"/>
      <c r="F35" s="98"/>
      <c r="G35" s="98"/>
      <c r="H35" s="95"/>
      <c r="I35" s="95"/>
      <c r="J35" s="3107"/>
      <c r="K35" s="95"/>
      <c r="L35" s="100" t="s">
        <v>2590</v>
      </c>
      <c r="M35" s="2324">
        <v>1750</v>
      </c>
      <c r="N35" s="2325"/>
      <c r="O35" s="2256"/>
      <c r="P35" s="2256"/>
      <c r="Q35" s="2256"/>
      <c r="R35" s="2256"/>
      <c r="S35" s="2256"/>
      <c r="T35" s="2256"/>
      <c r="U35" s="2256"/>
      <c r="V35" s="2256"/>
      <c r="W35" s="2256"/>
      <c r="X35" s="2256"/>
      <c r="Y35" s="2256"/>
      <c r="Z35" s="2256"/>
      <c r="AA35" s="2326"/>
      <c r="AB35" s="2326"/>
    </row>
    <row r="36" spans="1:28" ht="42.75" customHeight="1">
      <c r="A36" s="128"/>
      <c r="B36" s="128"/>
      <c r="C36" s="128"/>
      <c r="D36" s="98"/>
      <c r="E36" s="100"/>
      <c r="F36" s="98"/>
      <c r="G36" s="98"/>
      <c r="H36" s="104"/>
      <c r="I36" s="95"/>
      <c r="J36" s="98"/>
      <c r="K36" s="95"/>
      <c r="L36" s="2327"/>
      <c r="M36" s="2328"/>
      <c r="N36" s="1557"/>
      <c r="O36" s="2256"/>
      <c r="P36" s="2256"/>
      <c r="Q36" s="2256"/>
      <c r="R36" s="2256"/>
      <c r="S36" s="2256"/>
      <c r="T36" s="2256"/>
      <c r="U36" s="2256"/>
      <c r="V36" s="2256"/>
      <c r="W36" s="2256"/>
      <c r="X36" s="2256"/>
      <c r="Y36" s="2256"/>
      <c r="Z36" s="2256"/>
      <c r="AA36" s="2326"/>
      <c r="AB36" s="2326"/>
    </row>
    <row r="37" spans="1:28" ht="42.75" customHeight="1">
      <c r="A37" s="156">
        <v>2</v>
      </c>
      <c r="B37" s="156">
        <v>6</v>
      </c>
      <c r="C37" s="156">
        <v>15</v>
      </c>
      <c r="D37" s="103">
        <v>7</v>
      </c>
      <c r="E37" s="103" t="s">
        <v>2591</v>
      </c>
      <c r="F37" s="103"/>
      <c r="G37" s="103"/>
      <c r="H37" s="2383"/>
      <c r="I37" s="161"/>
      <c r="J37" s="103"/>
      <c r="K37" s="161"/>
      <c r="L37" s="2393"/>
      <c r="M37" s="2394"/>
      <c r="N37" s="2395">
        <f>SUM(M38:M39)</f>
        <v>10600</v>
      </c>
      <c r="O37" s="2396">
        <f>SUM(O38:O39)</f>
        <v>0</v>
      </c>
      <c r="P37" s="2396">
        <f t="shared" ref="P37:Z37" si="7">SUM(P38:P39)</f>
        <v>10600</v>
      </c>
      <c r="Q37" s="2396">
        <f t="shared" si="7"/>
        <v>0</v>
      </c>
      <c r="R37" s="2396">
        <f t="shared" si="7"/>
        <v>0</v>
      </c>
      <c r="S37" s="2396">
        <f t="shared" si="7"/>
        <v>0</v>
      </c>
      <c r="T37" s="2396">
        <f t="shared" si="7"/>
        <v>0</v>
      </c>
      <c r="U37" s="2396">
        <f t="shared" si="7"/>
        <v>0</v>
      </c>
      <c r="V37" s="2396">
        <f t="shared" si="7"/>
        <v>0</v>
      </c>
      <c r="W37" s="2396">
        <f t="shared" si="7"/>
        <v>0</v>
      </c>
      <c r="X37" s="2396">
        <f t="shared" si="7"/>
        <v>0</v>
      </c>
      <c r="Y37" s="2396">
        <f t="shared" si="7"/>
        <v>0</v>
      </c>
      <c r="Z37" s="2396">
        <f t="shared" si="7"/>
        <v>0</v>
      </c>
      <c r="AA37" s="159" t="s">
        <v>2619</v>
      </c>
      <c r="AB37" s="2357" t="s">
        <v>280</v>
      </c>
    </row>
    <row r="38" spans="1:28" ht="135.75" customHeight="1">
      <c r="A38" s="128"/>
      <c r="B38" s="128"/>
      <c r="C38" s="128"/>
      <c r="F38" s="100" t="s">
        <v>2592</v>
      </c>
      <c r="G38" s="130" t="s">
        <v>2593</v>
      </c>
      <c r="H38" s="95" t="s">
        <v>2549</v>
      </c>
      <c r="I38" s="95"/>
      <c r="J38" s="98"/>
      <c r="K38" s="98"/>
      <c r="L38" s="2329" t="s">
        <v>2594</v>
      </c>
      <c r="M38" s="2322">
        <v>9600</v>
      </c>
      <c r="N38" s="2330"/>
      <c r="O38" s="2322"/>
      <c r="P38" s="2330">
        <v>10600</v>
      </c>
      <c r="Q38" s="128"/>
      <c r="R38" s="128"/>
      <c r="S38" s="128"/>
      <c r="T38" s="128"/>
      <c r="U38" s="128"/>
      <c r="V38" s="128"/>
      <c r="W38" s="128"/>
      <c r="X38" s="128"/>
      <c r="Y38" s="128"/>
      <c r="Z38" s="128"/>
      <c r="AA38" s="104" t="s">
        <v>2595</v>
      </c>
      <c r="AB38" s="363" t="s">
        <v>280</v>
      </c>
    </row>
    <row r="39" spans="1:28" ht="109.95" customHeight="1">
      <c r="A39" s="128"/>
      <c r="B39" s="128"/>
      <c r="C39" s="128"/>
      <c r="D39" s="98"/>
      <c r="E39" s="147"/>
      <c r="F39" s="147"/>
      <c r="G39" s="147"/>
      <c r="H39" s="2331"/>
      <c r="I39" s="2332"/>
      <c r="J39" s="2333"/>
      <c r="K39" s="2332"/>
      <c r="L39" s="94" t="s">
        <v>2596</v>
      </c>
      <c r="M39" s="2322">
        <v>1000</v>
      </c>
      <c r="N39" s="2322"/>
      <c r="O39" s="2334"/>
      <c r="P39" s="2334"/>
      <c r="Q39" s="2334"/>
      <c r="R39" s="2334"/>
      <c r="S39" s="2334"/>
      <c r="T39" s="2334"/>
      <c r="U39" s="2334"/>
      <c r="V39" s="2334"/>
      <c r="W39" s="2334"/>
      <c r="X39" s="2334"/>
      <c r="Y39" s="2334"/>
      <c r="Z39" s="2334"/>
      <c r="AA39" s="98"/>
      <c r="AB39" s="98"/>
    </row>
    <row r="40" spans="1:28" ht="22.3" customHeight="1">
      <c r="A40" s="156">
        <v>2</v>
      </c>
      <c r="B40" s="156">
        <v>6</v>
      </c>
      <c r="C40" s="156">
        <v>15</v>
      </c>
      <c r="D40" s="103">
        <v>8</v>
      </c>
      <c r="E40" s="2397" t="s">
        <v>2597</v>
      </c>
      <c r="F40" s="2398"/>
      <c r="G40" s="2398"/>
      <c r="H40" s="2399"/>
      <c r="I40" s="2399"/>
      <c r="J40" s="2400"/>
      <c r="K40" s="2399"/>
      <c r="L40" s="169"/>
      <c r="M40" s="2396"/>
      <c r="N40" s="2401">
        <f>SUM(M41:M42)</f>
        <v>43920</v>
      </c>
      <c r="O40" s="2401">
        <f>SUM(O41:O42)</f>
        <v>43920</v>
      </c>
      <c r="P40" s="2401">
        <f t="shared" ref="P40:Z40" si="8">SUM(P41:P42)</f>
        <v>0</v>
      </c>
      <c r="Q40" s="2401">
        <f t="shared" si="8"/>
        <v>0</v>
      </c>
      <c r="R40" s="2401">
        <f t="shared" si="8"/>
        <v>0</v>
      </c>
      <c r="S40" s="2401">
        <f t="shared" si="8"/>
        <v>0</v>
      </c>
      <c r="T40" s="2401">
        <f t="shared" si="8"/>
        <v>0</v>
      </c>
      <c r="U40" s="2401">
        <f t="shared" si="8"/>
        <v>0</v>
      </c>
      <c r="V40" s="2401">
        <f t="shared" si="8"/>
        <v>0</v>
      </c>
      <c r="W40" s="2401">
        <f t="shared" si="8"/>
        <v>0</v>
      </c>
      <c r="X40" s="2401">
        <f t="shared" si="8"/>
        <v>0</v>
      </c>
      <c r="Y40" s="2401">
        <f t="shared" si="8"/>
        <v>0</v>
      </c>
      <c r="Z40" s="2401">
        <f t="shared" si="8"/>
        <v>0</v>
      </c>
      <c r="AA40" s="103" t="s">
        <v>2619</v>
      </c>
      <c r="AB40" s="103" t="s">
        <v>2588</v>
      </c>
    </row>
    <row r="41" spans="1:28" ht="51.75" customHeight="1">
      <c r="A41" s="128"/>
      <c r="B41" s="128"/>
      <c r="C41" s="128"/>
      <c r="D41" s="98"/>
      <c r="E41" s="2371"/>
      <c r="F41" s="3103" t="s">
        <v>2598</v>
      </c>
      <c r="G41" s="3103" t="s">
        <v>2599</v>
      </c>
      <c r="H41" s="3096" t="s">
        <v>2549</v>
      </c>
      <c r="I41" s="3096"/>
      <c r="J41" s="3098"/>
      <c r="K41" s="3098"/>
      <c r="L41" s="100" t="s">
        <v>2600</v>
      </c>
      <c r="M41" s="2322">
        <v>25620</v>
      </c>
      <c r="N41" s="3100"/>
      <c r="O41" s="2322">
        <v>43920</v>
      </c>
      <c r="P41" s="2322"/>
      <c r="Q41" s="2256"/>
      <c r="R41" s="2256"/>
      <c r="S41" s="2256"/>
      <c r="T41" s="2256"/>
      <c r="U41" s="2256"/>
      <c r="V41" s="2256"/>
      <c r="W41" s="2256"/>
      <c r="X41" s="2256"/>
      <c r="Y41" s="2256"/>
      <c r="Z41" s="2256"/>
      <c r="AA41" s="2256" t="s">
        <v>2564</v>
      </c>
      <c r="AB41" s="2256" t="s">
        <v>2289</v>
      </c>
    </row>
    <row r="42" spans="1:28" ht="94.5" customHeight="1">
      <c r="A42" s="128"/>
      <c r="B42" s="128"/>
      <c r="C42" s="128"/>
      <c r="F42" s="3104"/>
      <c r="G42" s="3104"/>
      <c r="H42" s="3097"/>
      <c r="I42" s="3097"/>
      <c r="J42" s="3099"/>
      <c r="K42" s="3099"/>
      <c r="L42" s="2252" t="s">
        <v>2601</v>
      </c>
      <c r="M42" s="2322">
        <v>18300</v>
      </c>
      <c r="N42" s="3101"/>
      <c r="O42" s="2256"/>
      <c r="P42" s="2322"/>
      <c r="Q42" s="2256"/>
      <c r="R42" s="2256"/>
      <c r="S42" s="2256"/>
      <c r="T42" s="2256"/>
      <c r="U42" s="2256"/>
      <c r="V42" s="2256"/>
      <c r="W42" s="2256"/>
      <c r="X42" s="2256"/>
      <c r="Y42" s="2256"/>
      <c r="Z42" s="2256"/>
      <c r="AA42" s="2256"/>
      <c r="AB42" s="2256"/>
    </row>
    <row r="43" spans="1:28" ht="33.450000000000003" customHeight="1">
      <c r="A43" s="156">
        <v>2</v>
      </c>
      <c r="B43" s="156">
        <v>6</v>
      </c>
      <c r="C43" s="156">
        <v>15</v>
      </c>
      <c r="D43" s="103">
        <v>9</v>
      </c>
      <c r="E43" s="2402" t="s">
        <v>2602</v>
      </c>
      <c r="F43" s="2403"/>
      <c r="G43" s="2403"/>
      <c r="H43" s="2378"/>
      <c r="I43" s="2378"/>
      <c r="J43" s="2404"/>
      <c r="K43" s="2404"/>
      <c r="L43" s="2362"/>
      <c r="M43" s="2396"/>
      <c r="N43" s="2395">
        <f>SUM(M44:M46)</f>
        <v>51400</v>
      </c>
      <c r="O43" s="2405">
        <f>SUM(O44:O46)</f>
        <v>0</v>
      </c>
      <c r="P43" s="2405">
        <f t="shared" ref="P43:Z43" si="9">SUM(P44:P46)</f>
        <v>0</v>
      </c>
      <c r="Q43" s="2405">
        <f t="shared" si="9"/>
        <v>0</v>
      </c>
      <c r="R43" s="2405">
        <f t="shared" si="9"/>
        <v>0</v>
      </c>
      <c r="S43" s="2405">
        <f t="shared" si="9"/>
        <v>0</v>
      </c>
      <c r="T43" s="2405">
        <f t="shared" si="9"/>
        <v>0</v>
      </c>
      <c r="U43" s="2405">
        <f t="shared" si="9"/>
        <v>0</v>
      </c>
      <c r="V43" s="2405">
        <f t="shared" si="9"/>
        <v>0</v>
      </c>
      <c r="W43" s="2405">
        <f t="shared" si="9"/>
        <v>0</v>
      </c>
      <c r="X43" s="2405">
        <f t="shared" si="9"/>
        <v>0</v>
      </c>
      <c r="Y43" s="2405">
        <f t="shared" si="9"/>
        <v>51400</v>
      </c>
      <c r="Z43" s="2405">
        <f t="shared" si="9"/>
        <v>0</v>
      </c>
      <c r="AA43" s="2358" t="s">
        <v>2619</v>
      </c>
      <c r="AB43" s="2358" t="s">
        <v>2588</v>
      </c>
    </row>
    <row r="44" spans="1:28" ht="139.4" customHeight="1">
      <c r="A44" s="128"/>
      <c r="B44" s="128"/>
      <c r="C44" s="128"/>
      <c r="F44" s="2279" t="s">
        <v>2603</v>
      </c>
      <c r="G44" s="2279" t="s">
        <v>2604</v>
      </c>
      <c r="H44" s="2280"/>
      <c r="I44" s="3096"/>
      <c r="J44" s="3096"/>
      <c r="K44" s="3096" t="s">
        <v>2549</v>
      </c>
      <c r="L44" s="130" t="s">
        <v>2605</v>
      </c>
      <c r="M44" s="2281">
        <v>30000</v>
      </c>
      <c r="N44" s="2309"/>
      <c r="O44" s="2283"/>
      <c r="P44" s="2284"/>
      <c r="Q44" s="2284"/>
      <c r="R44" s="2284"/>
      <c r="S44" s="2285"/>
      <c r="T44" s="2284"/>
      <c r="U44" s="2284"/>
      <c r="V44" s="2284"/>
      <c r="W44" s="2284"/>
      <c r="X44" s="2284"/>
      <c r="Y44" s="2284">
        <v>51400</v>
      </c>
      <c r="Z44" s="2284"/>
      <c r="AA44" s="104" t="s">
        <v>2606</v>
      </c>
      <c r="AB44" s="363" t="s">
        <v>2289</v>
      </c>
    </row>
    <row r="45" spans="1:28" ht="49.95" customHeight="1">
      <c r="A45" s="128"/>
      <c r="B45" s="128"/>
      <c r="C45" s="128"/>
      <c r="D45" s="98"/>
      <c r="E45" s="2286"/>
      <c r="F45" s="2287"/>
      <c r="G45" s="2287"/>
      <c r="H45" s="2265"/>
      <c r="I45" s="3097"/>
      <c r="J45" s="3097"/>
      <c r="K45" s="3097"/>
      <c r="L45" s="100" t="s">
        <v>2607</v>
      </c>
      <c r="M45" s="2281">
        <v>14400</v>
      </c>
      <c r="N45" s="2289"/>
      <c r="O45" s="2290"/>
      <c r="P45" s="144"/>
      <c r="Q45" s="144"/>
      <c r="R45" s="144"/>
      <c r="S45" s="144"/>
      <c r="T45" s="144"/>
      <c r="U45" s="144"/>
      <c r="V45" s="144"/>
      <c r="W45" s="144"/>
      <c r="X45" s="144"/>
      <c r="Y45" s="144"/>
      <c r="Z45" s="144"/>
      <c r="AA45" s="2291"/>
      <c r="AB45" s="2256"/>
    </row>
    <row r="46" spans="1:28" ht="29.25" customHeight="1">
      <c r="A46" s="128"/>
      <c r="B46" s="128"/>
      <c r="C46" s="128"/>
      <c r="D46" s="98"/>
      <c r="E46" s="2335"/>
      <c r="F46" s="2336"/>
      <c r="G46" s="2336"/>
      <c r="H46" s="2272"/>
      <c r="I46" s="2337"/>
      <c r="J46" s="2272"/>
      <c r="K46" s="2272"/>
      <c r="L46" s="2252" t="s">
        <v>2608</v>
      </c>
      <c r="M46" s="2281">
        <v>7000</v>
      </c>
      <c r="N46" s="2289"/>
      <c r="O46" s="2292"/>
      <c r="P46" s="2293"/>
      <c r="Q46" s="2293"/>
      <c r="R46" s="2293"/>
      <c r="S46" s="2293"/>
      <c r="T46" s="2293"/>
      <c r="U46" s="2293"/>
      <c r="V46" s="2293"/>
      <c r="W46" s="2293"/>
      <c r="X46" s="2293"/>
      <c r="Y46" s="2293"/>
      <c r="Z46" s="2293"/>
      <c r="AA46" s="2294"/>
      <c r="AB46" s="2295"/>
    </row>
    <row r="47" spans="1:28" ht="29.25" customHeight="1">
      <c r="A47" s="156">
        <v>2</v>
      </c>
      <c r="B47" s="156">
        <v>6</v>
      </c>
      <c r="C47" s="156">
        <v>15</v>
      </c>
      <c r="D47" s="103">
        <v>10</v>
      </c>
      <c r="E47" s="2402" t="s">
        <v>2609</v>
      </c>
      <c r="F47" s="2376"/>
      <c r="G47" s="2376"/>
      <c r="H47" s="2376"/>
      <c r="I47" s="2406"/>
      <c r="J47" s="2376"/>
      <c r="K47" s="2376"/>
      <c r="L47" s="2362"/>
      <c r="M47" s="2407"/>
      <c r="N47" s="2408">
        <f>SUM(M48:M50)</f>
        <v>16560</v>
      </c>
      <c r="O47" s="2409">
        <f>SUM(O48:O50)</f>
        <v>0</v>
      </c>
      <c r="P47" s="2409">
        <f t="shared" ref="P47:Z47" si="10">SUM(P48:P50)</f>
        <v>0</v>
      </c>
      <c r="Q47" s="2409">
        <f t="shared" si="10"/>
        <v>0</v>
      </c>
      <c r="R47" s="2409">
        <f t="shared" si="10"/>
        <v>0</v>
      </c>
      <c r="S47" s="2409">
        <f t="shared" si="10"/>
        <v>16560</v>
      </c>
      <c r="T47" s="2409">
        <f t="shared" si="10"/>
        <v>0</v>
      </c>
      <c r="U47" s="2409">
        <f t="shared" si="10"/>
        <v>0</v>
      </c>
      <c r="V47" s="2409">
        <f t="shared" si="10"/>
        <v>0</v>
      </c>
      <c r="W47" s="2409">
        <f t="shared" si="10"/>
        <v>0</v>
      </c>
      <c r="X47" s="2409">
        <f t="shared" si="10"/>
        <v>0</v>
      </c>
      <c r="Y47" s="2409">
        <f t="shared" si="10"/>
        <v>0</v>
      </c>
      <c r="Z47" s="2409">
        <f t="shared" si="10"/>
        <v>0</v>
      </c>
      <c r="AA47" s="2410" t="s">
        <v>2619</v>
      </c>
      <c r="AB47" s="2411" t="s">
        <v>2588</v>
      </c>
    </row>
    <row r="48" spans="1:28" ht="116.25" customHeight="1">
      <c r="A48" s="128"/>
      <c r="B48" s="128"/>
      <c r="C48" s="128"/>
      <c r="F48" s="2279" t="s">
        <v>2610</v>
      </c>
      <c r="G48" s="2279" t="s">
        <v>2611</v>
      </c>
      <c r="H48" s="2280"/>
      <c r="I48" s="3096" t="s">
        <v>2549</v>
      </c>
      <c r="J48" s="3096"/>
      <c r="K48" s="3096"/>
      <c r="L48" s="130" t="s">
        <v>2612</v>
      </c>
      <c r="M48" s="2317">
        <v>7200</v>
      </c>
      <c r="N48" s="2309"/>
      <c r="O48" s="2283"/>
      <c r="P48" s="2284"/>
      <c r="Q48" s="2284"/>
      <c r="R48" s="2284"/>
      <c r="S48" s="2338">
        <v>16560</v>
      </c>
      <c r="T48" s="2284"/>
      <c r="U48" s="2284"/>
      <c r="V48" s="2284"/>
      <c r="W48" s="2284"/>
      <c r="X48" s="2284"/>
      <c r="Y48" s="2284"/>
      <c r="Z48" s="2284"/>
      <c r="AA48" s="104" t="s">
        <v>2606</v>
      </c>
      <c r="AB48" s="363" t="s">
        <v>2289</v>
      </c>
    </row>
    <row r="49" spans="1:28" ht="41.25" customHeight="1">
      <c r="A49" s="128"/>
      <c r="B49" s="128"/>
      <c r="C49" s="128"/>
      <c r="D49" s="98"/>
      <c r="E49" s="2335"/>
      <c r="F49" s="2336"/>
      <c r="G49" s="2336"/>
      <c r="H49" s="2272"/>
      <c r="I49" s="3102"/>
      <c r="J49" s="3102"/>
      <c r="K49" s="3102"/>
      <c r="L49" s="100" t="s">
        <v>2613</v>
      </c>
      <c r="M49" s="2317">
        <v>5760</v>
      </c>
      <c r="N49" s="2339"/>
      <c r="O49" s="2290"/>
      <c r="P49" s="144"/>
      <c r="Q49" s="144"/>
      <c r="R49" s="144"/>
      <c r="S49" s="144"/>
      <c r="T49" s="144"/>
      <c r="U49" s="144"/>
      <c r="V49" s="144"/>
      <c r="W49" s="144"/>
      <c r="X49" s="144"/>
      <c r="Y49" s="144"/>
      <c r="Z49" s="144"/>
      <c r="AA49" s="2291"/>
      <c r="AB49" s="2256"/>
    </row>
    <row r="50" spans="1:28" ht="29.25" customHeight="1">
      <c r="A50" s="2340"/>
      <c r="B50" s="2340"/>
      <c r="C50" s="2340"/>
      <c r="D50" s="2250"/>
      <c r="E50" s="2286"/>
      <c r="F50" s="2336"/>
      <c r="G50" s="2336"/>
      <c r="H50" s="2265"/>
      <c r="I50" s="2337"/>
      <c r="J50" s="2272"/>
      <c r="K50" s="2272"/>
      <c r="L50" s="2252" t="s">
        <v>2608</v>
      </c>
      <c r="M50" s="2317">
        <v>3600</v>
      </c>
      <c r="N50" s="2318"/>
      <c r="O50" s="2292"/>
      <c r="P50" s="2293"/>
      <c r="Q50" s="2293"/>
      <c r="R50" s="2293"/>
      <c r="S50" s="2293"/>
      <c r="T50" s="2293"/>
      <c r="U50" s="2293"/>
      <c r="V50" s="2293"/>
      <c r="W50" s="2293"/>
      <c r="X50" s="2293"/>
      <c r="Y50" s="2293"/>
      <c r="Z50" s="2293"/>
      <c r="AA50" s="2294"/>
      <c r="AB50" s="2295"/>
    </row>
    <row r="51" spans="1:28" ht="29.25" customHeight="1">
      <c r="A51" s="2388">
        <v>2</v>
      </c>
      <c r="B51" s="2388">
        <v>6</v>
      </c>
      <c r="C51" s="2412">
        <v>15</v>
      </c>
      <c r="D51" s="2413">
        <v>11</v>
      </c>
      <c r="E51" s="2368" t="s">
        <v>2614</v>
      </c>
      <c r="F51" s="2376"/>
      <c r="G51" s="2414"/>
      <c r="H51" s="2376"/>
      <c r="I51" s="2406"/>
      <c r="J51" s="2376"/>
      <c r="K51" s="2376"/>
      <c r="L51" s="2362"/>
      <c r="M51" s="2407"/>
      <c r="N51" s="2415">
        <f>SUM(M52:M59)</f>
        <v>7920</v>
      </c>
      <c r="O51" s="2409">
        <f>SUM(O52:O59)</f>
        <v>0</v>
      </c>
      <c r="P51" s="2409">
        <f t="shared" ref="P51:Z51" si="11">SUM(P52:P59)</f>
        <v>7920</v>
      </c>
      <c r="Q51" s="2409">
        <f t="shared" si="11"/>
        <v>0</v>
      </c>
      <c r="R51" s="2409">
        <f t="shared" si="11"/>
        <v>0</v>
      </c>
      <c r="S51" s="2409">
        <f t="shared" si="11"/>
        <v>0</v>
      </c>
      <c r="T51" s="2409">
        <f t="shared" si="11"/>
        <v>0</v>
      </c>
      <c r="U51" s="2409">
        <f t="shared" si="11"/>
        <v>0</v>
      </c>
      <c r="V51" s="2409">
        <f t="shared" si="11"/>
        <v>0</v>
      </c>
      <c r="W51" s="2409">
        <f t="shared" si="11"/>
        <v>0</v>
      </c>
      <c r="X51" s="2409">
        <f t="shared" si="11"/>
        <v>0</v>
      </c>
      <c r="Y51" s="2409">
        <f t="shared" si="11"/>
        <v>0</v>
      </c>
      <c r="Z51" s="2409">
        <f t="shared" si="11"/>
        <v>0</v>
      </c>
      <c r="AA51" s="2410" t="s">
        <v>2619</v>
      </c>
      <c r="AB51" s="2416" t="s">
        <v>2588</v>
      </c>
    </row>
    <row r="52" spans="1:28" ht="115.95" customHeight="1">
      <c r="A52" s="2340"/>
      <c r="B52" s="2340"/>
      <c r="C52" s="139"/>
      <c r="F52" s="2279" t="s">
        <v>2615</v>
      </c>
      <c r="G52" s="2342" t="s">
        <v>2616</v>
      </c>
      <c r="H52" s="3096" t="s">
        <v>2549</v>
      </c>
      <c r="I52" s="2340"/>
      <c r="J52" s="2340"/>
      <c r="K52" s="2340"/>
      <c r="L52" s="100" t="s">
        <v>2617</v>
      </c>
      <c r="M52" s="2315">
        <v>4620</v>
      </c>
      <c r="N52" s="2315"/>
      <c r="O52" s="128"/>
      <c r="P52" s="2343">
        <v>7920</v>
      </c>
      <c r="Q52" s="128"/>
      <c r="R52" s="128"/>
      <c r="S52" s="128"/>
      <c r="T52" s="128"/>
      <c r="U52" s="128"/>
      <c r="V52" s="128"/>
      <c r="W52" s="128"/>
      <c r="X52" s="128"/>
      <c r="Y52" s="128"/>
      <c r="Z52" s="128"/>
      <c r="AA52" s="104" t="s">
        <v>2606</v>
      </c>
      <c r="AB52" s="2344" t="s">
        <v>2289</v>
      </c>
    </row>
    <row r="53" spans="1:28" ht="44.25" customHeight="1">
      <c r="A53" s="2345"/>
      <c r="B53" s="2345"/>
      <c r="C53" s="2346"/>
      <c r="E53" s="2345"/>
      <c r="F53" s="2345"/>
      <c r="G53" s="2347"/>
      <c r="H53" s="3097"/>
      <c r="I53" s="2345"/>
      <c r="J53" s="2345"/>
      <c r="K53" s="2345"/>
      <c r="L53" s="2252" t="s">
        <v>2618</v>
      </c>
      <c r="M53" s="2315">
        <v>3300</v>
      </c>
      <c r="N53" s="128"/>
      <c r="O53" s="128"/>
      <c r="P53" s="128"/>
      <c r="Q53" s="128"/>
      <c r="R53" s="128"/>
      <c r="S53" s="128"/>
      <c r="T53" s="128"/>
      <c r="U53" s="128"/>
      <c r="V53" s="128"/>
      <c r="W53" s="128"/>
      <c r="X53" s="128"/>
      <c r="Y53" s="128"/>
      <c r="Z53" s="128"/>
      <c r="AA53" s="2345"/>
      <c r="AB53" s="2348"/>
    </row>
    <row r="54" spans="1:28" ht="15.75" customHeight="1">
      <c r="A54" s="2345"/>
      <c r="B54" s="2345"/>
      <c r="C54" s="2346"/>
      <c r="D54" s="2341"/>
      <c r="E54" s="2279"/>
      <c r="F54" s="2279"/>
      <c r="G54" s="2342"/>
      <c r="H54" s="2345"/>
      <c r="I54" s="2345"/>
      <c r="J54" s="2345"/>
      <c r="K54" s="2345"/>
      <c r="L54" s="130"/>
      <c r="M54" s="2340"/>
      <c r="N54" s="2349"/>
      <c r="O54" s="2340"/>
      <c r="P54" s="2350"/>
      <c r="Q54" s="2340"/>
      <c r="R54" s="2340"/>
      <c r="S54" s="2340"/>
      <c r="T54" s="2340"/>
      <c r="U54" s="2340"/>
      <c r="V54" s="2340"/>
      <c r="W54" s="2340"/>
      <c r="X54" s="2340"/>
      <c r="Y54" s="2340"/>
      <c r="Z54" s="2340"/>
      <c r="AA54" s="2345"/>
      <c r="AB54" s="2346"/>
    </row>
    <row r="55" spans="1:28" ht="13.5" customHeight="1">
      <c r="A55" s="2345"/>
      <c r="B55" s="2345"/>
      <c r="C55" s="2346"/>
      <c r="E55" s="2345"/>
      <c r="F55" s="2345"/>
      <c r="G55" s="2347" t="s">
        <v>978</v>
      </c>
      <c r="H55" s="2345"/>
      <c r="I55" s="2345"/>
      <c r="J55" s="2345"/>
      <c r="K55" s="2345"/>
      <c r="L55" s="100"/>
      <c r="M55" s="2345"/>
      <c r="N55" s="2345"/>
      <c r="O55" s="2345"/>
      <c r="P55" s="2345"/>
      <c r="Q55" s="2345"/>
      <c r="R55" s="2345"/>
      <c r="S55" s="2345"/>
      <c r="T55" s="2345"/>
      <c r="U55" s="2345"/>
      <c r="V55" s="2345"/>
      <c r="W55" s="2345"/>
      <c r="X55" s="2345"/>
      <c r="Y55" s="2345"/>
      <c r="Z55" s="2345"/>
      <c r="AA55" s="2345"/>
      <c r="AB55" s="2346"/>
    </row>
    <row r="56" spans="1:28" ht="33.75" hidden="1" customHeight="1">
      <c r="A56" s="2345"/>
      <c r="B56" s="2345"/>
      <c r="C56" s="2346"/>
      <c r="E56" s="2345"/>
      <c r="F56" s="2345"/>
      <c r="G56" s="2347"/>
      <c r="H56" s="2345"/>
      <c r="I56" s="2345"/>
      <c r="J56" s="2345"/>
      <c r="K56" s="2345"/>
      <c r="L56" s="2252"/>
      <c r="M56" s="2345"/>
      <c r="N56" s="2345"/>
      <c r="O56" s="2345"/>
      <c r="P56" s="2345"/>
      <c r="Q56" s="2345"/>
      <c r="R56" s="2345"/>
      <c r="S56" s="2345"/>
      <c r="T56" s="2345"/>
      <c r="U56" s="2345"/>
      <c r="V56" s="2345"/>
      <c r="W56" s="2345"/>
      <c r="X56" s="2345"/>
      <c r="Y56" s="2345"/>
      <c r="Z56" s="2345"/>
      <c r="AA56" s="2345"/>
      <c r="AB56" s="2346"/>
    </row>
    <row r="57" spans="1:28">
      <c r="A57" s="2345"/>
      <c r="B57" s="2345"/>
      <c r="C57" s="2346"/>
      <c r="E57" s="2345"/>
      <c r="F57" s="2345"/>
      <c r="G57" s="2347"/>
      <c r="H57" s="2345"/>
      <c r="I57" s="2345"/>
      <c r="J57" s="2345"/>
      <c r="K57" s="2345"/>
      <c r="L57" s="2345"/>
      <c r="M57" s="2345"/>
      <c r="N57" s="2345"/>
      <c r="O57" s="2345"/>
      <c r="P57" s="2345"/>
      <c r="Q57" s="2345"/>
      <c r="R57" s="2345"/>
      <c r="S57" s="2345"/>
      <c r="T57" s="2345"/>
      <c r="U57" s="2345"/>
      <c r="V57" s="2345"/>
      <c r="W57" s="2345"/>
      <c r="X57" s="2345"/>
      <c r="Y57" s="2345"/>
      <c r="Z57" s="2345"/>
      <c r="AA57" s="2345"/>
      <c r="AB57" s="2346"/>
    </row>
    <row r="58" spans="1:28">
      <c r="A58" s="2345"/>
      <c r="B58" s="2345"/>
      <c r="C58" s="2346"/>
      <c r="D58" s="2346"/>
      <c r="E58" s="2345"/>
      <c r="F58" s="2347"/>
      <c r="G58" s="2351"/>
      <c r="H58" s="2345"/>
      <c r="I58" s="2345"/>
      <c r="J58" s="2345"/>
      <c r="K58" s="2345"/>
      <c r="L58" s="2345"/>
      <c r="M58" s="2345"/>
      <c r="N58" s="2345"/>
      <c r="O58" s="2345"/>
      <c r="P58" s="2345"/>
      <c r="Q58" s="2345"/>
      <c r="R58" s="2345"/>
      <c r="S58" s="2345"/>
      <c r="T58" s="2345"/>
      <c r="U58" s="2345"/>
      <c r="V58" s="2345"/>
      <c r="W58" s="2345"/>
      <c r="X58" s="2345"/>
      <c r="Y58" s="2345"/>
      <c r="Z58" s="2345"/>
      <c r="AA58" s="2345"/>
      <c r="AB58" s="2346"/>
    </row>
    <row r="59" spans="1:28">
      <c r="A59" s="2352"/>
      <c r="B59" s="2352"/>
      <c r="C59" s="142"/>
      <c r="D59" s="142"/>
      <c r="E59" s="2352"/>
      <c r="F59" s="2352"/>
      <c r="G59" s="2353"/>
      <c r="H59" s="2352"/>
      <c r="I59" s="2352"/>
      <c r="J59" s="2352"/>
      <c r="K59" s="2352"/>
      <c r="L59" s="2352"/>
      <c r="M59" s="2352"/>
      <c r="N59" s="2352"/>
      <c r="O59" s="2352"/>
      <c r="P59" s="2352"/>
      <c r="Q59" s="2352"/>
      <c r="R59" s="2352"/>
      <c r="S59" s="2352"/>
      <c r="T59" s="2352"/>
      <c r="U59" s="2352"/>
      <c r="V59" s="2352"/>
      <c r="W59" s="2352"/>
      <c r="X59" s="2352"/>
      <c r="Y59" s="2352"/>
      <c r="Z59" s="2352"/>
      <c r="AA59" s="2352"/>
      <c r="AB59" s="142"/>
    </row>
    <row r="60" spans="1:28">
      <c r="N60" s="1710"/>
    </row>
  </sheetData>
  <autoFilter ref="A11:AE20" xr:uid="{27D780A0-E507-409B-8867-BD02825B70E6}"/>
  <mergeCells count="30">
    <mergeCell ref="J33:J35"/>
    <mergeCell ref="D1:AB1"/>
    <mergeCell ref="D8:D10"/>
    <mergeCell ref="E8:E10"/>
    <mergeCell ref="F8:F10"/>
    <mergeCell ref="G8:G10"/>
    <mergeCell ref="H8:K9"/>
    <mergeCell ref="L8:M9"/>
    <mergeCell ref="N8:N10"/>
    <mergeCell ref="O8:Z8"/>
    <mergeCell ref="AA8:AA10"/>
    <mergeCell ref="AB8:AB10"/>
    <mergeCell ref="O9:Q9"/>
    <mergeCell ref="R9:T9"/>
    <mergeCell ref="U9:W9"/>
    <mergeCell ref="X9:Z9"/>
    <mergeCell ref="F41:F42"/>
    <mergeCell ref="G41:G42"/>
    <mergeCell ref="H41:H42"/>
    <mergeCell ref="I41:I42"/>
    <mergeCell ref="J41:J42"/>
    <mergeCell ref="H52:H53"/>
    <mergeCell ref="K41:K42"/>
    <mergeCell ref="N41:N42"/>
    <mergeCell ref="I44:I45"/>
    <mergeCell ref="J44:J45"/>
    <mergeCell ref="K44:K45"/>
    <mergeCell ref="I48:I49"/>
    <mergeCell ref="J48:J49"/>
    <mergeCell ref="K48:K4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E80"/>
  <sheetViews>
    <sheetView zoomScale="70" zoomScaleNormal="70" workbookViewId="0">
      <selection activeCell="N69" sqref="N69:Z69"/>
    </sheetView>
  </sheetViews>
  <sheetFormatPr defaultRowHeight="12.45"/>
  <cols>
    <col min="1" max="1" width="4.35546875" style="129" customWidth="1"/>
    <col min="2" max="2" width="6.85546875" style="129" customWidth="1"/>
    <col min="3" max="3" width="6.7109375" style="129" customWidth="1"/>
    <col min="4" max="4" width="5.2109375" style="131" customWidth="1"/>
    <col min="5" max="5" width="20.640625" style="129" customWidth="1"/>
    <col min="6" max="6" width="17.7109375" style="129" customWidth="1"/>
    <col min="7" max="7" width="12.640625" style="129" customWidth="1"/>
    <col min="8" max="8" width="3.85546875" style="129" customWidth="1"/>
    <col min="9" max="9" width="4.2109375" style="129" customWidth="1"/>
    <col min="10" max="10" width="4.140625" style="129" customWidth="1"/>
    <col min="11" max="11" width="4" style="129" customWidth="1"/>
    <col min="12" max="12" width="16.35546875" style="129" customWidth="1"/>
    <col min="13" max="13" width="8.2109375" style="129" customWidth="1"/>
    <col min="14" max="14" width="10.5" style="129" customWidth="1"/>
    <col min="15" max="15" width="11.28515625" style="134" customWidth="1"/>
    <col min="16" max="16" width="11.0703125" style="134" customWidth="1"/>
    <col min="17" max="17" width="8.7109375" style="134" customWidth="1"/>
    <col min="18" max="18" width="8.85546875" style="134" customWidth="1"/>
    <col min="19" max="19" width="8.35546875" style="134" customWidth="1"/>
    <col min="20" max="20" width="8.140625" style="134" customWidth="1"/>
    <col min="21" max="21" width="8.640625" style="134" customWidth="1"/>
    <col min="22" max="22" width="9.5" style="134" customWidth="1"/>
    <col min="23" max="23" width="8.35546875" style="134" customWidth="1"/>
    <col min="24" max="24" width="9.35546875" style="134" customWidth="1"/>
    <col min="25" max="25" width="10.140625" style="134" customWidth="1"/>
    <col min="26" max="26" width="7.85546875" style="134" customWidth="1"/>
    <col min="27" max="27" width="10.640625" style="129" customWidth="1"/>
    <col min="28" max="29" width="7.140625" style="129" customWidth="1"/>
    <col min="30" max="255" width="9.140625" style="129"/>
    <col min="256" max="256" width="4.35546875" style="129" customWidth="1"/>
    <col min="257" max="257" width="20.640625" style="129" customWidth="1"/>
    <col min="258" max="258" width="12.35546875" style="129" customWidth="1"/>
    <col min="259" max="259" width="12.640625" style="129" customWidth="1"/>
    <col min="260" max="260" width="3.85546875" style="129" customWidth="1"/>
    <col min="261" max="261" width="4.2109375" style="129" customWidth="1"/>
    <col min="262" max="262" width="4.140625" style="129" customWidth="1"/>
    <col min="263" max="263" width="4" style="129" customWidth="1"/>
    <col min="264" max="264" width="16.35546875" style="129" customWidth="1"/>
    <col min="265" max="265" width="5.640625" style="129" customWidth="1"/>
    <col min="266" max="266" width="8.7109375" style="129" customWidth="1"/>
    <col min="267" max="267" width="5.35546875" style="129" customWidth="1"/>
    <col min="268" max="268" width="4.35546875" style="129" customWidth="1"/>
    <col min="269" max="269" width="4.2109375" style="129" customWidth="1"/>
    <col min="270" max="270" width="3.140625" style="129" customWidth="1"/>
    <col min="271" max="271" width="4.640625" style="129" customWidth="1"/>
    <col min="272" max="272" width="4.35546875" style="129" customWidth="1"/>
    <col min="273" max="273" width="4" style="129" customWidth="1"/>
    <col min="274" max="274" width="3" style="129" customWidth="1"/>
    <col min="275" max="275" width="3.85546875" style="129" customWidth="1"/>
    <col min="276" max="276" width="4.35546875" style="129" customWidth="1"/>
    <col min="277" max="277" width="3.35546875" style="129" customWidth="1"/>
    <col min="278" max="278" width="4.85546875" style="129" customWidth="1"/>
    <col min="279" max="279" width="10.640625" style="129" customWidth="1"/>
    <col min="280" max="280" width="7.140625" style="129" customWidth="1"/>
    <col min="281" max="281" width="8.140625" style="129" customWidth="1"/>
    <col min="282" max="282" width="7.640625" style="129" customWidth="1"/>
    <col min="283" max="284" width="7.7109375" style="129" customWidth="1"/>
    <col min="285" max="285" width="7.140625" style="129" customWidth="1"/>
    <col min="286" max="511" width="9.140625" style="129"/>
    <col min="512" max="512" width="4.35546875" style="129" customWidth="1"/>
    <col min="513" max="513" width="20.640625" style="129" customWidth="1"/>
    <col min="514" max="514" width="12.35546875" style="129" customWidth="1"/>
    <col min="515" max="515" width="12.640625" style="129" customWidth="1"/>
    <col min="516" max="516" width="3.85546875" style="129" customWidth="1"/>
    <col min="517" max="517" width="4.2109375" style="129" customWidth="1"/>
    <col min="518" max="518" width="4.140625" style="129" customWidth="1"/>
    <col min="519" max="519" width="4" style="129" customWidth="1"/>
    <col min="520" max="520" width="16.35546875" style="129" customWidth="1"/>
    <col min="521" max="521" width="5.640625" style="129" customWidth="1"/>
    <col min="522" max="522" width="8.7109375" style="129" customWidth="1"/>
    <col min="523" max="523" width="5.35546875" style="129" customWidth="1"/>
    <col min="524" max="524" width="4.35546875" style="129" customWidth="1"/>
    <col min="525" max="525" width="4.2109375" style="129" customWidth="1"/>
    <col min="526" max="526" width="3.140625" style="129" customWidth="1"/>
    <col min="527" max="527" width="4.640625" style="129" customWidth="1"/>
    <col min="528" max="528" width="4.35546875" style="129" customWidth="1"/>
    <col min="529" max="529" width="4" style="129" customWidth="1"/>
    <col min="530" max="530" width="3" style="129" customWidth="1"/>
    <col min="531" max="531" width="3.85546875" style="129" customWidth="1"/>
    <col min="532" max="532" width="4.35546875" style="129" customWidth="1"/>
    <col min="533" max="533" width="3.35546875" style="129" customWidth="1"/>
    <col min="534" max="534" width="4.85546875" style="129" customWidth="1"/>
    <col min="535" max="535" width="10.640625" style="129" customWidth="1"/>
    <col min="536" max="536" width="7.140625" style="129" customWidth="1"/>
    <col min="537" max="537" width="8.140625" style="129" customWidth="1"/>
    <col min="538" max="538" width="7.640625" style="129" customWidth="1"/>
    <col min="539" max="540" width="7.7109375" style="129" customWidth="1"/>
    <col min="541" max="541" width="7.140625" style="129" customWidth="1"/>
    <col min="542" max="767" width="9.140625" style="129"/>
    <col min="768" max="768" width="4.35546875" style="129" customWidth="1"/>
    <col min="769" max="769" width="20.640625" style="129" customWidth="1"/>
    <col min="770" max="770" width="12.35546875" style="129" customWidth="1"/>
    <col min="771" max="771" width="12.640625" style="129" customWidth="1"/>
    <col min="772" max="772" width="3.85546875" style="129" customWidth="1"/>
    <col min="773" max="773" width="4.2109375" style="129" customWidth="1"/>
    <col min="774" max="774" width="4.140625" style="129" customWidth="1"/>
    <col min="775" max="775" width="4" style="129" customWidth="1"/>
    <col min="776" max="776" width="16.35546875" style="129" customWidth="1"/>
    <col min="777" max="777" width="5.640625" style="129" customWidth="1"/>
    <col min="778" max="778" width="8.7109375" style="129" customWidth="1"/>
    <col min="779" max="779" width="5.35546875" style="129" customWidth="1"/>
    <col min="780" max="780" width="4.35546875" style="129" customWidth="1"/>
    <col min="781" max="781" width="4.2109375" style="129" customWidth="1"/>
    <col min="782" max="782" width="3.140625" style="129" customWidth="1"/>
    <col min="783" max="783" width="4.640625" style="129" customWidth="1"/>
    <col min="784" max="784" width="4.35546875" style="129" customWidth="1"/>
    <col min="785" max="785" width="4" style="129" customWidth="1"/>
    <col min="786" max="786" width="3" style="129" customWidth="1"/>
    <col min="787" max="787" width="3.85546875" style="129" customWidth="1"/>
    <col min="788" max="788" width="4.35546875" style="129" customWidth="1"/>
    <col min="789" max="789" width="3.35546875" style="129" customWidth="1"/>
    <col min="790" max="790" width="4.85546875" style="129" customWidth="1"/>
    <col min="791" max="791" width="10.640625" style="129" customWidth="1"/>
    <col min="792" max="792" width="7.140625" style="129" customWidth="1"/>
    <col min="793" max="793" width="8.140625" style="129" customWidth="1"/>
    <col min="794" max="794" width="7.640625" style="129" customWidth="1"/>
    <col min="795" max="796" width="7.7109375" style="129" customWidth="1"/>
    <col min="797" max="797" width="7.140625" style="129" customWidth="1"/>
    <col min="798" max="1023" width="9.140625" style="129"/>
    <col min="1024" max="1024" width="4.35546875" style="129" customWidth="1"/>
    <col min="1025" max="1025" width="20.640625" style="129" customWidth="1"/>
    <col min="1026" max="1026" width="12.35546875" style="129" customWidth="1"/>
    <col min="1027" max="1027" width="12.640625" style="129" customWidth="1"/>
    <col min="1028" max="1028" width="3.85546875" style="129" customWidth="1"/>
    <col min="1029" max="1029" width="4.2109375" style="129" customWidth="1"/>
    <col min="1030" max="1030" width="4.140625" style="129" customWidth="1"/>
    <col min="1031" max="1031" width="4" style="129" customWidth="1"/>
    <col min="1032" max="1032" width="16.35546875" style="129" customWidth="1"/>
    <col min="1033" max="1033" width="5.640625" style="129" customWidth="1"/>
    <col min="1034" max="1034" width="8.7109375" style="129" customWidth="1"/>
    <col min="1035" max="1035" width="5.35546875" style="129" customWidth="1"/>
    <col min="1036" max="1036" width="4.35546875" style="129" customWidth="1"/>
    <col min="1037" max="1037" width="4.2109375" style="129" customWidth="1"/>
    <col min="1038" max="1038" width="3.140625" style="129" customWidth="1"/>
    <col min="1039" max="1039" width="4.640625" style="129" customWidth="1"/>
    <col min="1040" max="1040" width="4.35546875" style="129" customWidth="1"/>
    <col min="1041" max="1041" width="4" style="129" customWidth="1"/>
    <col min="1042" max="1042" width="3" style="129" customWidth="1"/>
    <col min="1043" max="1043" width="3.85546875" style="129" customWidth="1"/>
    <col min="1044" max="1044" width="4.35546875" style="129" customWidth="1"/>
    <col min="1045" max="1045" width="3.35546875" style="129" customWidth="1"/>
    <col min="1046" max="1046" width="4.85546875" style="129" customWidth="1"/>
    <col min="1047" max="1047" width="10.640625" style="129" customWidth="1"/>
    <col min="1048" max="1048" width="7.140625" style="129" customWidth="1"/>
    <col min="1049" max="1049" width="8.140625" style="129" customWidth="1"/>
    <col min="1050" max="1050" width="7.640625" style="129" customWidth="1"/>
    <col min="1051" max="1052" width="7.7109375" style="129" customWidth="1"/>
    <col min="1053" max="1053" width="7.140625" style="129" customWidth="1"/>
    <col min="1054" max="1279" width="9.140625" style="129"/>
    <col min="1280" max="1280" width="4.35546875" style="129" customWidth="1"/>
    <col min="1281" max="1281" width="20.640625" style="129" customWidth="1"/>
    <col min="1282" max="1282" width="12.35546875" style="129" customWidth="1"/>
    <col min="1283" max="1283" width="12.640625" style="129" customWidth="1"/>
    <col min="1284" max="1284" width="3.85546875" style="129" customWidth="1"/>
    <col min="1285" max="1285" width="4.2109375" style="129" customWidth="1"/>
    <col min="1286" max="1286" width="4.140625" style="129" customWidth="1"/>
    <col min="1287" max="1287" width="4" style="129" customWidth="1"/>
    <col min="1288" max="1288" width="16.35546875" style="129" customWidth="1"/>
    <col min="1289" max="1289" width="5.640625" style="129" customWidth="1"/>
    <col min="1290" max="1290" width="8.7109375" style="129" customWidth="1"/>
    <col min="1291" max="1291" width="5.35546875" style="129" customWidth="1"/>
    <col min="1292" max="1292" width="4.35546875" style="129" customWidth="1"/>
    <col min="1293" max="1293" width="4.2109375" style="129" customWidth="1"/>
    <col min="1294" max="1294" width="3.140625" style="129" customWidth="1"/>
    <col min="1295" max="1295" width="4.640625" style="129" customWidth="1"/>
    <col min="1296" max="1296" width="4.35546875" style="129" customWidth="1"/>
    <col min="1297" max="1297" width="4" style="129" customWidth="1"/>
    <col min="1298" max="1298" width="3" style="129" customWidth="1"/>
    <col min="1299" max="1299" width="3.85546875" style="129" customWidth="1"/>
    <col min="1300" max="1300" width="4.35546875" style="129" customWidth="1"/>
    <col min="1301" max="1301" width="3.35546875" style="129" customWidth="1"/>
    <col min="1302" max="1302" width="4.85546875" style="129" customWidth="1"/>
    <col min="1303" max="1303" width="10.640625" style="129" customWidth="1"/>
    <col min="1304" max="1304" width="7.140625" style="129" customWidth="1"/>
    <col min="1305" max="1305" width="8.140625" style="129" customWidth="1"/>
    <col min="1306" max="1306" width="7.640625" style="129" customWidth="1"/>
    <col min="1307" max="1308" width="7.7109375" style="129" customWidth="1"/>
    <col min="1309" max="1309" width="7.140625" style="129" customWidth="1"/>
    <col min="1310" max="1535" width="9.140625" style="129"/>
    <col min="1536" max="1536" width="4.35546875" style="129" customWidth="1"/>
    <col min="1537" max="1537" width="20.640625" style="129" customWidth="1"/>
    <col min="1538" max="1538" width="12.35546875" style="129" customWidth="1"/>
    <col min="1539" max="1539" width="12.640625" style="129" customWidth="1"/>
    <col min="1540" max="1540" width="3.85546875" style="129" customWidth="1"/>
    <col min="1541" max="1541" width="4.2109375" style="129" customWidth="1"/>
    <col min="1542" max="1542" width="4.140625" style="129" customWidth="1"/>
    <col min="1543" max="1543" width="4" style="129" customWidth="1"/>
    <col min="1544" max="1544" width="16.35546875" style="129" customWidth="1"/>
    <col min="1545" max="1545" width="5.640625" style="129" customWidth="1"/>
    <col min="1546" max="1546" width="8.7109375" style="129" customWidth="1"/>
    <col min="1547" max="1547" width="5.35546875" style="129" customWidth="1"/>
    <col min="1548" max="1548" width="4.35546875" style="129" customWidth="1"/>
    <col min="1549" max="1549" width="4.2109375" style="129" customWidth="1"/>
    <col min="1550" max="1550" width="3.140625" style="129" customWidth="1"/>
    <col min="1551" max="1551" width="4.640625" style="129" customWidth="1"/>
    <col min="1552" max="1552" width="4.35546875" style="129" customWidth="1"/>
    <col min="1553" max="1553" width="4" style="129" customWidth="1"/>
    <col min="1554" max="1554" width="3" style="129" customWidth="1"/>
    <col min="1555" max="1555" width="3.85546875" style="129" customWidth="1"/>
    <col min="1556" max="1556" width="4.35546875" style="129" customWidth="1"/>
    <col min="1557" max="1557" width="3.35546875" style="129" customWidth="1"/>
    <col min="1558" max="1558" width="4.85546875" style="129" customWidth="1"/>
    <col min="1559" max="1559" width="10.640625" style="129" customWidth="1"/>
    <col min="1560" max="1560" width="7.140625" style="129" customWidth="1"/>
    <col min="1561" max="1561" width="8.140625" style="129" customWidth="1"/>
    <col min="1562" max="1562" width="7.640625" style="129" customWidth="1"/>
    <col min="1563" max="1564" width="7.7109375" style="129" customWidth="1"/>
    <col min="1565" max="1565" width="7.140625" style="129" customWidth="1"/>
    <col min="1566" max="1791" width="9.140625" style="129"/>
    <col min="1792" max="1792" width="4.35546875" style="129" customWidth="1"/>
    <col min="1793" max="1793" width="20.640625" style="129" customWidth="1"/>
    <col min="1794" max="1794" width="12.35546875" style="129" customWidth="1"/>
    <col min="1795" max="1795" width="12.640625" style="129" customWidth="1"/>
    <col min="1796" max="1796" width="3.85546875" style="129" customWidth="1"/>
    <col min="1797" max="1797" width="4.2109375" style="129" customWidth="1"/>
    <col min="1798" max="1798" width="4.140625" style="129" customWidth="1"/>
    <col min="1799" max="1799" width="4" style="129" customWidth="1"/>
    <col min="1800" max="1800" width="16.35546875" style="129" customWidth="1"/>
    <col min="1801" max="1801" width="5.640625" style="129" customWidth="1"/>
    <col min="1802" max="1802" width="8.7109375" style="129" customWidth="1"/>
    <col min="1803" max="1803" width="5.35546875" style="129" customWidth="1"/>
    <col min="1804" max="1804" width="4.35546875" style="129" customWidth="1"/>
    <col min="1805" max="1805" width="4.2109375" style="129" customWidth="1"/>
    <col min="1806" max="1806" width="3.140625" style="129" customWidth="1"/>
    <col min="1807" max="1807" width="4.640625" style="129" customWidth="1"/>
    <col min="1808" max="1808" width="4.35546875" style="129" customWidth="1"/>
    <col min="1809" max="1809" width="4" style="129" customWidth="1"/>
    <col min="1810" max="1810" width="3" style="129" customWidth="1"/>
    <col min="1811" max="1811" width="3.85546875" style="129" customWidth="1"/>
    <col min="1812" max="1812" width="4.35546875" style="129" customWidth="1"/>
    <col min="1813" max="1813" width="3.35546875" style="129" customWidth="1"/>
    <col min="1814" max="1814" width="4.85546875" style="129" customWidth="1"/>
    <col min="1815" max="1815" width="10.640625" style="129" customWidth="1"/>
    <col min="1816" max="1816" width="7.140625" style="129" customWidth="1"/>
    <col min="1817" max="1817" width="8.140625" style="129" customWidth="1"/>
    <col min="1818" max="1818" width="7.640625" style="129" customWidth="1"/>
    <col min="1819" max="1820" width="7.7109375" style="129" customWidth="1"/>
    <col min="1821" max="1821" width="7.140625" style="129" customWidth="1"/>
    <col min="1822" max="2047" width="9.140625" style="129"/>
    <col min="2048" max="2048" width="4.35546875" style="129" customWidth="1"/>
    <col min="2049" max="2049" width="20.640625" style="129" customWidth="1"/>
    <col min="2050" max="2050" width="12.35546875" style="129" customWidth="1"/>
    <col min="2051" max="2051" width="12.640625" style="129" customWidth="1"/>
    <col min="2052" max="2052" width="3.85546875" style="129" customWidth="1"/>
    <col min="2053" max="2053" width="4.2109375" style="129" customWidth="1"/>
    <col min="2054" max="2054" width="4.140625" style="129" customWidth="1"/>
    <col min="2055" max="2055" width="4" style="129" customWidth="1"/>
    <col min="2056" max="2056" width="16.35546875" style="129" customWidth="1"/>
    <col min="2057" max="2057" width="5.640625" style="129" customWidth="1"/>
    <col min="2058" max="2058" width="8.7109375" style="129" customWidth="1"/>
    <col min="2059" max="2059" width="5.35546875" style="129" customWidth="1"/>
    <col min="2060" max="2060" width="4.35546875" style="129" customWidth="1"/>
    <col min="2061" max="2061" width="4.2109375" style="129" customWidth="1"/>
    <col min="2062" max="2062" width="3.140625" style="129" customWidth="1"/>
    <col min="2063" max="2063" width="4.640625" style="129" customWidth="1"/>
    <col min="2064" max="2064" width="4.35546875" style="129" customWidth="1"/>
    <col min="2065" max="2065" width="4" style="129" customWidth="1"/>
    <col min="2066" max="2066" width="3" style="129" customWidth="1"/>
    <col min="2067" max="2067" width="3.85546875" style="129" customWidth="1"/>
    <col min="2068" max="2068" width="4.35546875" style="129" customWidth="1"/>
    <col min="2069" max="2069" width="3.35546875" style="129" customWidth="1"/>
    <col min="2070" max="2070" width="4.85546875" style="129" customWidth="1"/>
    <col min="2071" max="2071" width="10.640625" style="129" customWidth="1"/>
    <col min="2072" max="2072" width="7.140625" style="129" customWidth="1"/>
    <col min="2073" max="2073" width="8.140625" style="129" customWidth="1"/>
    <col min="2074" max="2074" width="7.640625" style="129" customWidth="1"/>
    <col min="2075" max="2076" width="7.7109375" style="129" customWidth="1"/>
    <col min="2077" max="2077" width="7.140625" style="129" customWidth="1"/>
    <col min="2078" max="2303" width="9.140625" style="129"/>
    <col min="2304" max="2304" width="4.35546875" style="129" customWidth="1"/>
    <col min="2305" max="2305" width="20.640625" style="129" customWidth="1"/>
    <col min="2306" max="2306" width="12.35546875" style="129" customWidth="1"/>
    <col min="2307" max="2307" width="12.640625" style="129" customWidth="1"/>
    <col min="2308" max="2308" width="3.85546875" style="129" customWidth="1"/>
    <col min="2309" max="2309" width="4.2109375" style="129" customWidth="1"/>
    <col min="2310" max="2310" width="4.140625" style="129" customWidth="1"/>
    <col min="2311" max="2311" width="4" style="129" customWidth="1"/>
    <col min="2312" max="2312" width="16.35546875" style="129" customWidth="1"/>
    <col min="2313" max="2313" width="5.640625" style="129" customWidth="1"/>
    <col min="2314" max="2314" width="8.7109375" style="129" customWidth="1"/>
    <col min="2315" max="2315" width="5.35546875" style="129" customWidth="1"/>
    <col min="2316" max="2316" width="4.35546875" style="129" customWidth="1"/>
    <col min="2317" max="2317" width="4.2109375" style="129" customWidth="1"/>
    <col min="2318" max="2318" width="3.140625" style="129" customWidth="1"/>
    <col min="2319" max="2319" width="4.640625" style="129" customWidth="1"/>
    <col min="2320" max="2320" width="4.35546875" style="129" customWidth="1"/>
    <col min="2321" max="2321" width="4" style="129" customWidth="1"/>
    <col min="2322" max="2322" width="3" style="129" customWidth="1"/>
    <col min="2323" max="2323" width="3.85546875" style="129" customWidth="1"/>
    <col min="2324" max="2324" width="4.35546875" style="129" customWidth="1"/>
    <col min="2325" max="2325" width="3.35546875" style="129" customWidth="1"/>
    <col min="2326" max="2326" width="4.85546875" style="129" customWidth="1"/>
    <col min="2327" max="2327" width="10.640625" style="129" customWidth="1"/>
    <col min="2328" max="2328" width="7.140625" style="129" customWidth="1"/>
    <col min="2329" max="2329" width="8.140625" style="129" customWidth="1"/>
    <col min="2330" max="2330" width="7.640625" style="129" customWidth="1"/>
    <col min="2331" max="2332" width="7.7109375" style="129" customWidth="1"/>
    <col min="2333" max="2333" width="7.140625" style="129" customWidth="1"/>
    <col min="2334" max="2559" width="9.140625" style="129"/>
    <col min="2560" max="2560" width="4.35546875" style="129" customWidth="1"/>
    <col min="2561" max="2561" width="20.640625" style="129" customWidth="1"/>
    <col min="2562" max="2562" width="12.35546875" style="129" customWidth="1"/>
    <col min="2563" max="2563" width="12.640625" style="129" customWidth="1"/>
    <col min="2564" max="2564" width="3.85546875" style="129" customWidth="1"/>
    <col min="2565" max="2565" width="4.2109375" style="129" customWidth="1"/>
    <col min="2566" max="2566" width="4.140625" style="129" customWidth="1"/>
    <col min="2567" max="2567" width="4" style="129" customWidth="1"/>
    <col min="2568" max="2568" width="16.35546875" style="129" customWidth="1"/>
    <col min="2569" max="2569" width="5.640625" style="129" customWidth="1"/>
    <col min="2570" max="2570" width="8.7109375" style="129" customWidth="1"/>
    <col min="2571" max="2571" width="5.35546875" style="129" customWidth="1"/>
    <col min="2572" max="2572" width="4.35546875" style="129" customWidth="1"/>
    <col min="2573" max="2573" width="4.2109375" style="129" customWidth="1"/>
    <col min="2574" max="2574" width="3.140625" style="129" customWidth="1"/>
    <col min="2575" max="2575" width="4.640625" style="129" customWidth="1"/>
    <col min="2576" max="2576" width="4.35546875" style="129" customWidth="1"/>
    <col min="2577" max="2577" width="4" style="129" customWidth="1"/>
    <col min="2578" max="2578" width="3" style="129" customWidth="1"/>
    <col min="2579" max="2579" width="3.85546875" style="129" customWidth="1"/>
    <col min="2580" max="2580" width="4.35546875" style="129" customWidth="1"/>
    <col min="2581" max="2581" width="3.35546875" style="129" customWidth="1"/>
    <col min="2582" max="2582" width="4.85546875" style="129" customWidth="1"/>
    <col min="2583" max="2583" width="10.640625" style="129" customWidth="1"/>
    <col min="2584" max="2584" width="7.140625" style="129" customWidth="1"/>
    <col min="2585" max="2585" width="8.140625" style="129" customWidth="1"/>
    <col min="2586" max="2586" width="7.640625" style="129" customWidth="1"/>
    <col min="2587" max="2588" width="7.7109375" style="129" customWidth="1"/>
    <col min="2589" max="2589" width="7.140625" style="129" customWidth="1"/>
    <col min="2590" max="2815" width="9.140625" style="129"/>
    <col min="2816" max="2816" width="4.35546875" style="129" customWidth="1"/>
    <col min="2817" max="2817" width="20.640625" style="129" customWidth="1"/>
    <col min="2818" max="2818" width="12.35546875" style="129" customWidth="1"/>
    <col min="2819" max="2819" width="12.640625" style="129" customWidth="1"/>
    <col min="2820" max="2820" width="3.85546875" style="129" customWidth="1"/>
    <col min="2821" max="2821" width="4.2109375" style="129" customWidth="1"/>
    <col min="2822" max="2822" width="4.140625" style="129" customWidth="1"/>
    <col min="2823" max="2823" width="4" style="129" customWidth="1"/>
    <col min="2824" max="2824" width="16.35546875" style="129" customWidth="1"/>
    <col min="2825" max="2825" width="5.640625" style="129" customWidth="1"/>
    <col min="2826" max="2826" width="8.7109375" style="129" customWidth="1"/>
    <col min="2827" max="2827" width="5.35546875" style="129" customWidth="1"/>
    <col min="2828" max="2828" width="4.35546875" style="129" customWidth="1"/>
    <col min="2829" max="2829" width="4.2109375" style="129" customWidth="1"/>
    <col min="2830" max="2830" width="3.140625" style="129" customWidth="1"/>
    <col min="2831" max="2831" width="4.640625" style="129" customWidth="1"/>
    <col min="2832" max="2832" width="4.35546875" style="129" customWidth="1"/>
    <col min="2833" max="2833" width="4" style="129" customWidth="1"/>
    <col min="2834" max="2834" width="3" style="129" customWidth="1"/>
    <col min="2835" max="2835" width="3.85546875" style="129" customWidth="1"/>
    <col min="2836" max="2836" width="4.35546875" style="129" customWidth="1"/>
    <col min="2837" max="2837" width="3.35546875" style="129" customWidth="1"/>
    <col min="2838" max="2838" width="4.85546875" style="129" customWidth="1"/>
    <col min="2839" max="2839" width="10.640625" style="129" customWidth="1"/>
    <col min="2840" max="2840" width="7.140625" style="129" customWidth="1"/>
    <col min="2841" max="2841" width="8.140625" style="129" customWidth="1"/>
    <col min="2842" max="2842" width="7.640625" style="129" customWidth="1"/>
    <col min="2843" max="2844" width="7.7109375" style="129" customWidth="1"/>
    <col min="2845" max="2845" width="7.140625" style="129" customWidth="1"/>
    <col min="2846" max="3071" width="9.140625" style="129"/>
    <col min="3072" max="3072" width="4.35546875" style="129" customWidth="1"/>
    <col min="3073" max="3073" width="20.640625" style="129" customWidth="1"/>
    <col min="3074" max="3074" width="12.35546875" style="129" customWidth="1"/>
    <col min="3075" max="3075" width="12.640625" style="129" customWidth="1"/>
    <col min="3076" max="3076" width="3.85546875" style="129" customWidth="1"/>
    <col min="3077" max="3077" width="4.2109375" style="129" customWidth="1"/>
    <col min="3078" max="3078" width="4.140625" style="129" customWidth="1"/>
    <col min="3079" max="3079" width="4" style="129" customWidth="1"/>
    <col min="3080" max="3080" width="16.35546875" style="129" customWidth="1"/>
    <col min="3081" max="3081" width="5.640625" style="129" customWidth="1"/>
    <col min="3082" max="3082" width="8.7109375" style="129" customWidth="1"/>
    <col min="3083" max="3083" width="5.35546875" style="129" customWidth="1"/>
    <col min="3084" max="3084" width="4.35546875" style="129" customWidth="1"/>
    <col min="3085" max="3085" width="4.2109375" style="129" customWidth="1"/>
    <col min="3086" max="3086" width="3.140625" style="129" customWidth="1"/>
    <col min="3087" max="3087" width="4.640625" style="129" customWidth="1"/>
    <col min="3088" max="3088" width="4.35546875" style="129" customWidth="1"/>
    <col min="3089" max="3089" width="4" style="129" customWidth="1"/>
    <col min="3090" max="3090" width="3" style="129" customWidth="1"/>
    <col min="3091" max="3091" width="3.85546875" style="129" customWidth="1"/>
    <col min="3092" max="3092" width="4.35546875" style="129" customWidth="1"/>
    <col min="3093" max="3093" width="3.35546875" style="129" customWidth="1"/>
    <col min="3094" max="3094" width="4.85546875" style="129" customWidth="1"/>
    <col min="3095" max="3095" width="10.640625" style="129" customWidth="1"/>
    <col min="3096" max="3096" width="7.140625" style="129" customWidth="1"/>
    <col min="3097" max="3097" width="8.140625" style="129" customWidth="1"/>
    <col min="3098" max="3098" width="7.640625" style="129" customWidth="1"/>
    <col min="3099" max="3100" width="7.7109375" style="129" customWidth="1"/>
    <col min="3101" max="3101" width="7.140625" style="129" customWidth="1"/>
    <col min="3102" max="3327" width="9.140625" style="129"/>
    <col min="3328" max="3328" width="4.35546875" style="129" customWidth="1"/>
    <col min="3329" max="3329" width="20.640625" style="129" customWidth="1"/>
    <col min="3330" max="3330" width="12.35546875" style="129" customWidth="1"/>
    <col min="3331" max="3331" width="12.640625" style="129" customWidth="1"/>
    <col min="3332" max="3332" width="3.85546875" style="129" customWidth="1"/>
    <col min="3333" max="3333" width="4.2109375" style="129" customWidth="1"/>
    <col min="3334" max="3334" width="4.140625" style="129" customWidth="1"/>
    <col min="3335" max="3335" width="4" style="129" customWidth="1"/>
    <col min="3336" max="3336" width="16.35546875" style="129" customWidth="1"/>
    <col min="3337" max="3337" width="5.640625" style="129" customWidth="1"/>
    <col min="3338" max="3338" width="8.7109375" style="129" customWidth="1"/>
    <col min="3339" max="3339" width="5.35546875" style="129" customWidth="1"/>
    <col min="3340" max="3340" width="4.35546875" style="129" customWidth="1"/>
    <col min="3341" max="3341" width="4.2109375" style="129" customWidth="1"/>
    <col min="3342" max="3342" width="3.140625" style="129" customWidth="1"/>
    <col min="3343" max="3343" width="4.640625" style="129" customWidth="1"/>
    <col min="3344" max="3344" width="4.35546875" style="129" customWidth="1"/>
    <col min="3345" max="3345" width="4" style="129" customWidth="1"/>
    <col min="3346" max="3346" width="3" style="129" customWidth="1"/>
    <col min="3347" max="3347" width="3.85546875" style="129" customWidth="1"/>
    <col min="3348" max="3348" width="4.35546875" style="129" customWidth="1"/>
    <col min="3349" max="3349" width="3.35546875" style="129" customWidth="1"/>
    <col min="3350" max="3350" width="4.85546875" style="129" customWidth="1"/>
    <col min="3351" max="3351" width="10.640625" style="129" customWidth="1"/>
    <col min="3352" max="3352" width="7.140625" style="129" customWidth="1"/>
    <col min="3353" max="3353" width="8.140625" style="129" customWidth="1"/>
    <col min="3354" max="3354" width="7.640625" style="129" customWidth="1"/>
    <col min="3355" max="3356" width="7.7109375" style="129" customWidth="1"/>
    <col min="3357" max="3357" width="7.140625" style="129" customWidth="1"/>
    <col min="3358" max="3583" width="9.140625" style="129"/>
    <col min="3584" max="3584" width="4.35546875" style="129" customWidth="1"/>
    <col min="3585" max="3585" width="20.640625" style="129" customWidth="1"/>
    <col min="3586" max="3586" width="12.35546875" style="129" customWidth="1"/>
    <col min="3587" max="3587" width="12.640625" style="129" customWidth="1"/>
    <col min="3588" max="3588" width="3.85546875" style="129" customWidth="1"/>
    <col min="3589" max="3589" width="4.2109375" style="129" customWidth="1"/>
    <col min="3590" max="3590" width="4.140625" style="129" customWidth="1"/>
    <col min="3591" max="3591" width="4" style="129" customWidth="1"/>
    <col min="3592" max="3592" width="16.35546875" style="129" customWidth="1"/>
    <col min="3593" max="3593" width="5.640625" style="129" customWidth="1"/>
    <col min="3594" max="3594" width="8.7109375" style="129" customWidth="1"/>
    <col min="3595" max="3595" width="5.35546875" style="129" customWidth="1"/>
    <col min="3596" max="3596" width="4.35546875" style="129" customWidth="1"/>
    <col min="3597" max="3597" width="4.2109375" style="129" customWidth="1"/>
    <col min="3598" max="3598" width="3.140625" style="129" customWidth="1"/>
    <col min="3599" max="3599" width="4.640625" style="129" customWidth="1"/>
    <col min="3600" max="3600" width="4.35546875" style="129" customWidth="1"/>
    <col min="3601" max="3601" width="4" style="129" customWidth="1"/>
    <col min="3602" max="3602" width="3" style="129" customWidth="1"/>
    <col min="3603" max="3603" width="3.85546875" style="129" customWidth="1"/>
    <col min="3604" max="3604" width="4.35546875" style="129" customWidth="1"/>
    <col min="3605" max="3605" width="3.35546875" style="129" customWidth="1"/>
    <col min="3606" max="3606" width="4.85546875" style="129" customWidth="1"/>
    <col min="3607" max="3607" width="10.640625" style="129" customWidth="1"/>
    <col min="3608" max="3608" width="7.140625" style="129" customWidth="1"/>
    <col min="3609" max="3609" width="8.140625" style="129" customWidth="1"/>
    <col min="3610" max="3610" width="7.640625" style="129" customWidth="1"/>
    <col min="3611" max="3612" width="7.7109375" style="129" customWidth="1"/>
    <col min="3613" max="3613" width="7.140625" style="129" customWidth="1"/>
    <col min="3614" max="3839" width="9.140625" style="129"/>
    <col min="3840" max="3840" width="4.35546875" style="129" customWidth="1"/>
    <col min="3841" max="3841" width="20.640625" style="129" customWidth="1"/>
    <col min="3842" max="3842" width="12.35546875" style="129" customWidth="1"/>
    <col min="3843" max="3843" width="12.640625" style="129" customWidth="1"/>
    <col min="3844" max="3844" width="3.85546875" style="129" customWidth="1"/>
    <col min="3845" max="3845" width="4.2109375" style="129" customWidth="1"/>
    <col min="3846" max="3846" width="4.140625" style="129" customWidth="1"/>
    <col min="3847" max="3847" width="4" style="129" customWidth="1"/>
    <col min="3848" max="3848" width="16.35546875" style="129" customWidth="1"/>
    <col min="3849" max="3849" width="5.640625" style="129" customWidth="1"/>
    <col min="3850" max="3850" width="8.7109375" style="129" customWidth="1"/>
    <col min="3851" max="3851" width="5.35546875" style="129" customWidth="1"/>
    <col min="3852" max="3852" width="4.35546875" style="129" customWidth="1"/>
    <col min="3853" max="3853" width="4.2109375" style="129" customWidth="1"/>
    <col min="3854" max="3854" width="3.140625" style="129" customWidth="1"/>
    <col min="3855" max="3855" width="4.640625" style="129" customWidth="1"/>
    <col min="3856" max="3856" width="4.35546875" style="129" customWidth="1"/>
    <col min="3857" max="3857" width="4" style="129" customWidth="1"/>
    <col min="3858" max="3858" width="3" style="129" customWidth="1"/>
    <col min="3859" max="3859" width="3.85546875" style="129" customWidth="1"/>
    <col min="3860" max="3860" width="4.35546875" style="129" customWidth="1"/>
    <col min="3861" max="3861" width="3.35546875" style="129" customWidth="1"/>
    <col min="3862" max="3862" width="4.85546875" style="129" customWidth="1"/>
    <col min="3863" max="3863" width="10.640625" style="129" customWidth="1"/>
    <col min="3864" max="3864" width="7.140625" style="129" customWidth="1"/>
    <col min="3865" max="3865" width="8.140625" style="129" customWidth="1"/>
    <col min="3866" max="3866" width="7.640625" style="129" customWidth="1"/>
    <col min="3867" max="3868" width="7.7109375" style="129" customWidth="1"/>
    <col min="3869" max="3869" width="7.140625" style="129" customWidth="1"/>
    <col min="3870" max="4095" width="9.140625" style="129"/>
    <col min="4096" max="4096" width="4.35546875" style="129" customWidth="1"/>
    <col min="4097" max="4097" width="20.640625" style="129" customWidth="1"/>
    <col min="4098" max="4098" width="12.35546875" style="129" customWidth="1"/>
    <col min="4099" max="4099" width="12.640625" style="129" customWidth="1"/>
    <col min="4100" max="4100" width="3.85546875" style="129" customWidth="1"/>
    <col min="4101" max="4101" width="4.2109375" style="129" customWidth="1"/>
    <col min="4102" max="4102" width="4.140625" style="129" customWidth="1"/>
    <col min="4103" max="4103" width="4" style="129" customWidth="1"/>
    <col min="4104" max="4104" width="16.35546875" style="129" customWidth="1"/>
    <col min="4105" max="4105" width="5.640625" style="129" customWidth="1"/>
    <col min="4106" max="4106" width="8.7109375" style="129" customWidth="1"/>
    <col min="4107" max="4107" width="5.35546875" style="129" customWidth="1"/>
    <col min="4108" max="4108" width="4.35546875" style="129" customWidth="1"/>
    <col min="4109" max="4109" width="4.2109375" style="129" customWidth="1"/>
    <col min="4110" max="4110" width="3.140625" style="129" customWidth="1"/>
    <col min="4111" max="4111" width="4.640625" style="129" customWidth="1"/>
    <col min="4112" max="4112" width="4.35546875" style="129" customWidth="1"/>
    <col min="4113" max="4113" width="4" style="129" customWidth="1"/>
    <col min="4114" max="4114" width="3" style="129" customWidth="1"/>
    <col min="4115" max="4115" width="3.85546875" style="129" customWidth="1"/>
    <col min="4116" max="4116" width="4.35546875" style="129" customWidth="1"/>
    <col min="4117" max="4117" width="3.35546875" style="129" customWidth="1"/>
    <col min="4118" max="4118" width="4.85546875" style="129" customWidth="1"/>
    <col min="4119" max="4119" width="10.640625" style="129" customWidth="1"/>
    <col min="4120" max="4120" width="7.140625" style="129" customWidth="1"/>
    <col min="4121" max="4121" width="8.140625" style="129" customWidth="1"/>
    <col min="4122" max="4122" width="7.640625" style="129" customWidth="1"/>
    <col min="4123" max="4124" width="7.7109375" style="129" customWidth="1"/>
    <col min="4125" max="4125" width="7.140625" style="129" customWidth="1"/>
    <col min="4126" max="4351" width="9.140625" style="129"/>
    <col min="4352" max="4352" width="4.35546875" style="129" customWidth="1"/>
    <col min="4353" max="4353" width="20.640625" style="129" customWidth="1"/>
    <col min="4354" max="4354" width="12.35546875" style="129" customWidth="1"/>
    <col min="4355" max="4355" width="12.640625" style="129" customWidth="1"/>
    <col min="4356" max="4356" width="3.85546875" style="129" customWidth="1"/>
    <col min="4357" max="4357" width="4.2109375" style="129" customWidth="1"/>
    <col min="4358" max="4358" width="4.140625" style="129" customWidth="1"/>
    <col min="4359" max="4359" width="4" style="129" customWidth="1"/>
    <col min="4360" max="4360" width="16.35546875" style="129" customWidth="1"/>
    <col min="4361" max="4361" width="5.640625" style="129" customWidth="1"/>
    <col min="4362" max="4362" width="8.7109375" style="129" customWidth="1"/>
    <col min="4363" max="4363" width="5.35546875" style="129" customWidth="1"/>
    <col min="4364" max="4364" width="4.35546875" style="129" customWidth="1"/>
    <col min="4365" max="4365" width="4.2109375" style="129" customWidth="1"/>
    <col min="4366" max="4366" width="3.140625" style="129" customWidth="1"/>
    <col min="4367" max="4367" width="4.640625" style="129" customWidth="1"/>
    <col min="4368" max="4368" width="4.35546875" style="129" customWidth="1"/>
    <col min="4369" max="4369" width="4" style="129" customWidth="1"/>
    <col min="4370" max="4370" width="3" style="129" customWidth="1"/>
    <col min="4371" max="4371" width="3.85546875" style="129" customWidth="1"/>
    <col min="4372" max="4372" width="4.35546875" style="129" customWidth="1"/>
    <col min="4373" max="4373" width="3.35546875" style="129" customWidth="1"/>
    <col min="4374" max="4374" width="4.85546875" style="129" customWidth="1"/>
    <col min="4375" max="4375" width="10.640625" style="129" customWidth="1"/>
    <col min="4376" max="4376" width="7.140625" style="129" customWidth="1"/>
    <col min="4377" max="4377" width="8.140625" style="129" customWidth="1"/>
    <col min="4378" max="4378" width="7.640625" style="129" customWidth="1"/>
    <col min="4379" max="4380" width="7.7109375" style="129" customWidth="1"/>
    <col min="4381" max="4381" width="7.140625" style="129" customWidth="1"/>
    <col min="4382" max="4607" width="9.140625" style="129"/>
    <col min="4608" max="4608" width="4.35546875" style="129" customWidth="1"/>
    <col min="4609" max="4609" width="20.640625" style="129" customWidth="1"/>
    <col min="4610" max="4610" width="12.35546875" style="129" customWidth="1"/>
    <col min="4611" max="4611" width="12.640625" style="129" customWidth="1"/>
    <col min="4612" max="4612" width="3.85546875" style="129" customWidth="1"/>
    <col min="4613" max="4613" width="4.2109375" style="129" customWidth="1"/>
    <col min="4614" max="4614" width="4.140625" style="129" customWidth="1"/>
    <col min="4615" max="4615" width="4" style="129" customWidth="1"/>
    <col min="4616" max="4616" width="16.35546875" style="129" customWidth="1"/>
    <col min="4617" max="4617" width="5.640625" style="129" customWidth="1"/>
    <col min="4618" max="4618" width="8.7109375" style="129" customWidth="1"/>
    <col min="4619" max="4619" width="5.35546875" style="129" customWidth="1"/>
    <col min="4620" max="4620" width="4.35546875" style="129" customWidth="1"/>
    <col min="4621" max="4621" width="4.2109375" style="129" customWidth="1"/>
    <col min="4622" max="4622" width="3.140625" style="129" customWidth="1"/>
    <col min="4623" max="4623" width="4.640625" style="129" customWidth="1"/>
    <col min="4624" max="4624" width="4.35546875" style="129" customWidth="1"/>
    <col min="4625" max="4625" width="4" style="129" customWidth="1"/>
    <col min="4626" max="4626" width="3" style="129" customWidth="1"/>
    <col min="4627" max="4627" width="3.85546875" style="129" customWidth="1"/>
    <col min="4628" max="4628" width="4.35546875" style="129" customWidth="1"/>
    <col min="4629" max="4629" width="3.35546875" style="129" customWidth="1"/>
    <col min="4630" max="4630" width="4.85546875" style="129" customWidth="1"/>
    <col min="4631" max="4631" width="10.640625" style="129" customWidth="1"/>
    <col min="4632" max="4632" width="7.140625" style="129" customWidth="1"/>
    <col min="4633" max="4633" width="8.140625" style="129" customWidth="1"/>
    <col min="4634" max="4634" width="7.640625" style="129" customWidth="1"/>
    <col min="4635" max="4636" width="7.7109375" style="129" customWidth="1"/>
    <col min="4637" max="4637" width="7.140625" style="129" customWidth="1"/>
    <col min="4638" max="4863" width="9.140625" style="129"/>
    <col min="4864" max="4864" width="4.35546875" style="129" customWidth="1"/>
    <col min="4865" max="4865" width="20.640625" style="129" customWidth="1"/>
    <col min="4866" max="4866" width="12.35546875" style="129" customWidth="1"/>
    <col min="4867" max="4867" width="12.640625" style="129" customWidth="1"/>
    <col min="4868" max="4868" width="3.85546875" style="129" customWidth="1"/>
    <col min="4869" max="4869" width="4.2109375" style="129" customWidth="1"/>
    <col min="4870" max="4870" width="4.140625" style="129" customWidth="1"/>
    <col min="4871" max="4871" width="4" style="129" customWidth="1"/>
    <col min="4872" max="4872" width="16.35546875" style="129" customWidth="1"/>
    <col min="4873" max="4873" width="5.640625" style="129" customWidth="1"/>
    <col min="4874" max="4874" width="8.7109375" style="129" customWidth="1"/>
    <col min="4875" max="4875" width="5.35546875" style="129" customWidth="1"/>
    <col min="4876" max="4876" width="4.35546875" style="129" customWidth="1"/>
    <col min="4877" max="4877" width="4.2109375" style="129" customWidth="1"/>
    <col min="4878" max="4878" width="3.140625" style="129" customWidth="1"/>
    <col min="4879" max="4879" width="4.640625" style="129" customWidth="1"/>
    <col min="4880" max="4880" width="4.35546875" style="129" customWidth="1"/>
    <col min="4881" max="4881" width="4" style="129" customWidth="1"/>
    <col min="4882" max="4882" width="3" style="129" customWidth="1"/>
    <col min="4883" max="4883" width="3.85546875" style="129" customWidth="1"/>
    <col min="4884" max="4884" width="4.35546875" style="129" customWidth="1"/>
    <col min="4885" max="4885" width="3.35546875" style="129" customWidth="1"/>
    <col min="4886" max="4886" width="4.85546875" style="129" customWidth="1"/>
    <col min="4887" max="4887" width="10.640625" style="129" customWidth="1"/>
    <col min="4888" max="4888" width="7.140625" style="129" customWidth="1"/>
    <col min="4889" max="4889" width="8.140625" style="129" customWidth="1"/>
    <col min="4890" max="4890" width="7.640625" style="129" customWidth="1"/>
    <col min="4891" max="4892" width="7.7109375" style="129" customWidth="1"/>
    <col min="4893" max="4893" width="7.140625" style="129" customWidth="1"/>
    <col min="4894" max="5119" width="9.140625" style="129"/>
    <col min="5120" max="5120" width="4.35546875" style="129" customWidth="1"/>
    <col min="5121" max="5121" width="20.640625" style="129" customWidth="1"/>
    <col min="5122" max="5122" width="12.35546875" style="129" customWidth="1"/>
    <col min="5123" max="5123" width="12.640625" style="129" customWidth="1"/>
    <col min="5124" max="5124" width="3.85546875" style="129" customWidth="1"/>
    <col min="5125" max="5125" width="4.2109375" style="129" customWidth="1"/>
    <col min="5126" max="5126" width="4.140625" style="129" customWidth="1"/>
    <col min="5127" max="5127" width="4" style="129" customWidth="1"/>
    <col min="5128" max="5128" width="16.35546875" style="129" customWidth="1"/>
    <col min="5129" max="5129" width="5.640625" style="129" customWidth="1"/>
    <col min="5130" max="5130" width="8.7109375" style="129" customWidth="1"/>
    <col min="5131" max="5131" width="5.35546875" style="129" customWidth="1"/>
    <col min="5132" max="5132" width="4.35546875" style="129" customWidth="1"/>
    <col min="5133" max="5133" width="4.2109375" style="129" customWidth="1"/>
    <col min="5134" max="5134" width="3.140625" style="129" customWidth="1"/>
    <col min="5135" max="5135" width="4.640625" style="129" customWidth="1"/>
    <col min="5136" max="5136" width="4.35546875" style="129" customWidth="1"/>
    <col min="5137" max="5137" width="4" style="129" customWidth="1"/>
    <col min="5138" max="5138" width="3" style="129" customWidth="1"/>
    <col min="5139" max="5139" width="3.85546875" style="129" customWidth="1"/>
    <col min="5140" max="5140" width="4.35546875" style="129" customWidth="1"/>
    <col min="5141" max="5141" width="3.35546875" style="129" customWidth="1"/>
    <col min="5142" max="5142" width="4.85546875" style="129" customWidth="1"/>
    <col min="5143" max="5143" width="10.640625" style="129" customWidth="1"/>
    <col min="5144" max="5144" width="7.140625" style="129" customWidth="1"/>
    <col min="5145" max="5145" width="8.140625" style="129" customWidth="1"/>
    <col min="5146" max="5146" width="7.640625" style="129" customWidth="1"/>
    <col min="5147" max="5148" width="7.7109375" style="129" customWidth="1"/>
    <col min="5149" max="5149" width="7.140625" style="129" customWidth="1"/>
    <col min="5150" max="5375" width="9.140625" style="129"/>
    <col min="5376" max="5376" width="4.35546875" style="129" customWidth="1"/>
    <col min="5377" max="5377" width="20.640625" style="129" customWidth="1"/>
    <col min="5378" max="5378" width="12.35546875" style="129" customWidth="1"/>
    <col min="5379" max="5379" width="12.640625" style="129" customWidth="1"/>
    <col min="5380" max="5380" width="3.85546875" style="129" customWidth="1"/>
    <col min="5381" max="5381" width="4.2109375" style="129" customWidth="1"/>
    <col min="5382" max="5382" width="4.140625" style="129" customWidth="1"/>
    <col min="5383" max="5383" width="4" style="129" customWidth="1"/>
    <col min="5384" max="5384" width="16.35546875" style="129" customWidth="1"/>
    <col min="5385" max="5385" width="5.640625" style="129" customWidth="1"/>
    <col min="5386" max="5386" width="8.7109375" style="129" customWidth="1"/>
    <col min="5387" max="5387" width="5.35546875" style="129" customWidth="1"/>
    <col min="5388" max="5388" width="4.35546875" style="129" customWidth="1"/>
    <col min="5389" max="5389" width="4.2109375" style="129" customWidth="1"/>
    <col min="5390" max="5390" width="3.140625" style="129" customWidth="1"/>
    <col min="5391" max="5391" width="4.640625" style="129" customWidth="1"/>
    <col min="5392" max="5392" width="4.35546875" style="129" customWidth="1"/>
    <col min="5393" max="5393" width="4" style="129" customWidth="1"/>
    <col min="5394" max="5394" width="3" style="129" customWidth="1"/>
    <col min="5395" max="5395" width="3.85546875" style="129" customWidth="1"/>
    <col min="5396" max="5396" width="4.35546875" style="129" customWidth="1"/>
    <col min="5397" max="5397" width="3.35546875" style="129" customWidth="1"/>
    <col min="5398" max="5398" width="4.85546875" style="129" customWidth="1"/>
    <col min="5399" max="5399" width="10.640625" style="129" customWidth="1"/>
    <col min="5400" max="5400" width="7.140625" style="129" customWidth="1"/>
    <col min="5401" max="5401" width="8.140625" style="129" customWidth="1"/>
    <col min="5402" max="5402" width="7.640625" style="129" customWidth="1"/>
    <col min="5403" max="5404" width="7.7109375" style="129" customWidth="1"/>
    <col min="5405" max="5405" width="7.140625" style="129" customWidth="1"/>
    <col min="5406" max="5631" width="9.140625" style="129"/>
    <col min="5632" max="5632" width="4.35546875" style="129" customWidth="1"/>
    <col min="5633" max="5633" width="20.640625" style="129" customWidth="1"/>
    <col min="5634" max="5634" width="12.35546875" style="129" customWidth="1"/>
    <col min="5635" max="5635" width="12.640625" style="129" customWidth="1"/>
    <col min="5636" max="5636" width="3.85546875" style="129" customWidth="1"/>
    <col min="5637" max="5637" width="4.2109375" style="129" customWidth="1"/>
    <col min="5638" max="5638" width="4.140625" style="129" customWidth="1"/>
    <col min="5639" max="5639" width="4" style="129" customWidth="1"/>
    <col min="5640" max="5640" width="16.35546875" style="129" customWidth="1"/>
    <col min="5641" max="5641" width="5.640625" style="129" customWidth="1"/>
    <col min="5642" max="5642" width="8.7109375" style="129" customWidth="1"/>
    <col min="5643" max="5643" width="5.35546875" style="129" customWidth="1"/>
    <col min="5644" max="5644" width="4.35546875" style="129" customWidth="1"/>
    <col min="5645" max="5645" width="4.2109375" style="129" customWidth="1"/>
    <col min="5646" max="5646" width="3.140625" style="129" customWidth="1"/>
    <col min="5647" max="5647" width="4.640625" style="129" customWidth="1"/>
    <col min="5648" max="5648" width="4.35546875" style="129" customWidth="1"/>
    <col min="5649" max="5649" width="4" style="129" customWidth="1"/>
    <col min="5650" max="5650" width="3" style="129" customWidth="1"/>
    <col min="5651" max="5651" width="3.85546875" style="129" customWidth="1"/>
    <col min="5652" max="5652" width="4.35546875" style="129" customWidth="1"/>
    <col min="5653" max="5653" width="3.35546875" style="129" customWidth="1"/>
    <col min="5654" max="5654" width="4.85546875" style="129" customWidth="1"/>
    <col min="5655" max="5655" width="10.640625" style="129" customWidth="1"/>
    <col min="5656" max="5656" width="7.140625" style="129" customWidth="1"/>
    <col min="5657" max="5657" width="8.140625" style="129" customWidth="1"/>
    <col min="5658" max="5658" width="7.640625" style="129" customWidth="1"/>
    <col min="5659" max="5660" width="7.7109375" style="129" customWidth="1"/>
    <col min="5661" max="5661" width="7.140625" style="129" customWidth="1"/>
    <col min="5662" max="5887" width="9.140625" style="129"/>
    <col min="5888" max="5888" width="4.35546875" style="129" customWidth="1"/>
    <col min="5889" max="5889" width="20.640625" style="129" customWidth="1"/>
    <col min="5890" max="5890" width="12.35546875" style="129" customWidth="1"/>
    <col min="5891" max="5891" width="12.640625" style="129" customWidth="1"/>
    <col min="5892" max="5892" width="3.85546875" style="129" customWidth="1"/>
    <col min="5893" max="5893" width="4.2109375" style="129" customWidth="1"/>
    <col min="5894" max="5894" width="4.140625" style="129" customWidth="1"/>
    <col min="5895" max="5895" width="4" style="129" customWidth="1"/>
    <col min="5896" max="5896" width="16.35546875" style="129" customWidth="1"/>
    <col min="5897" max="5897" width="5.640625" style="129" customWidth="1"/>
    <col min="5898" max="5898" width="8.7109375" style="129" customWidth="1"/>
    <col min="5899" max="5899" width="5.35546875" style="129" customWidth="1"/>
    <col min="5900" max="5900" width="4.35546875" style="129" customWidth="1"/>
    <col min="5901" max="5901" width="4.2109375" style="129" customWidth="1"/>
    <col min="5902" max="5902" width="3.140625" style="129" customWidth="1"/>
    <col min="5903" max="5903" width="4.640625" style="129" customWidth="1"/>
    <col min="5904" max="5904" width="4.35546875" style="129" customWidth="1"/>
    <col min="5905" max="5905" width="4" style="129" customWidth="1"/>
    <col min="5906" max="5906" width="3" style="129" customWidth="1"/>
    <col min="5907" max="5907" width="3.85546875" style="129" customWidth="1"/>
    <col min="5908" max="5908" width="4.35546875" style="129" customWidth="1"/>
    <col min="5909" max="5909" width="3.35546875" style="129" customWidth="1"/>
    <col min="5910" max="5910" width="4.85546875" style="129" customWidth="1"/>
    <col min="5911" max="5911" width="10.640625" style="129" customWidth="1"/>
    <col min="5912" max="5912" width="7.140625" style="129" customWidth="1"/>
    <col min="5913" max="5913" width="8.140625" style="129" customWidth="1"/>
    <col min="5914" max="5914" width="7.640625" style="129" customWidth="1"/>
    <col min="5915" max="5916" width="7.7109375" style="129" customWidth="1"/>
    <col min="5917" max="5917" width="7.140625" style="129" customWidth="1"/>
    <col min="5918" max="6143" width="9.140625" style="129"/>
    <col min="6144" max="6144" width="4.35546875" style="129" customWidth="1"/>
    <col min="6145" max="6145" width="20.640625" style="129" customWidth="1"/>
    <col min="6146" max="6146" width="12.35546875" style="129" customWidth="1"/>
    <col min="6147" max="6147" width="12.640625" style="129" customWidth="1"/>
    <col min="6148" max="6148" width="3.85546875" style="129" customWidth="1"/>
    <col min="6149" max="6149" width="4.2109375" style="129" customWidth="1"/>
    <col min="6150" max="6150" width="4.140625" style="129" customWidth="1"/>
    <col min="6151" max="6151" width="4" style="129" customWidth="1"/>
    <col min="6152" max="6152" width="16.35546875" style="129" customWidth="1"/>
    <col min="6153" max="6153" width="5.640625" style="129" customWidth="1"/>
    <col min="6154" max="6154" width="8.7109375" style="129" customWidth="1"/>
    <col min="6155" max="6155" width="5.35546875" style="129" customWidth="1"/>
    <col min="6156" max="6156" width="4.35546875" style="129" customWidth="1"/>
    <col min="6157" max="6157" width="4.2109375" style="129" customWidth="1"/>
    <col min="6158" max="6158" width="3.140625" style="129" customWidth="1"/>
    <col min="6159" max="6159" width="4.640625" style="129" customWidth="1"/>
    <col min="6160" max="6160" width="4.35546875" style="129" customWidth="1"/>
    <col min="6161" max="6161" width="4" style="129" customWidth="1"/>
    <col min="6162" max="6162" width="3" style="129" customWidth="1"/>
    <col min="6163" max="6163" width="3.85546875" style="129" customWidth="1"/>
    <col min="6164" max="6164" width="4.35546875" style="129" customWidth="1"/>
    <col min="6165" max="6165" width="3.35546875" style="129" customWidth="1"/>
    <col min="6166" max="6166" width="4.85546875" style="129" customWidth="1"/>
    <col min="6167" max="6167" width="10.640625" style="129" customWidth="1"/>
    <col min="6168" max="6168" width="7.140625" style="129" customWidth="1"/>
    <col min="6169" max="6169" width="8.140625" style="129" customWidth="1"/>
    <col min="6170" max="6170" width="7.640625" style="129" customWidth="1"/>
    <col min="6171" max="6172" width="7.7109375" style="129" customWidth="1"/>
    <col min="6173" max="6173" width="7.140625" style="129" customWidth="1"/>
    <col min="6174" max="6399" width="9.140625" style="129"/>
    <col min="6400" max="6400" width="4.35546875" style="129" customWidth="1"/>
    <col min="6401" max="6401" width="20.640625" style="129" customWidth="1"/>
    <col min="6402" max="6402" width="12.35546875" style="129" customWidth="1"/>
    <col min="6403" max="6403" width="12.640625" style="129" customWidth="1"/>
    <col min="6404" max="6404" width="3.85546875" style="129" customWidth="1"/>
    <col min="6405" max="6405" width="4.2109375" style="129" customWidth="1"/>
    <col min="6406" max="6406" width="4.140625" style="129" customWidth="1"/>
    <col min="6407" max="6407" width="4" style="129" customWidth="1"/>
    <col min="6408" max="6408" width="16.35546875" style="129" customWidth="1"/>
    <col min="6409" max="6409" width="5.640625" style="129" customWidth="1"/>
    <col min="6410" max="6410" width="8.7109375" style="129" customWidth="1"/>
    <col min="6411" max="6411" width="5.35546875" style="129" customWidth="1"/>
    <col min="6412" max="6412" width="4.35546875" style="129" customWidth="1"/>
    <col min="6413" max="6413" width="4.2109375" style="129" customWidth="1"/>
    <col min="6414" max="6414" width="3.140625" style="129" customWidth="1"/>
    <col min="6415" max="6415" width="4.640625" style="129" customWidth="1"/>
    <col min="6416" max="6416" width="4.35546875" style="129" customWidth="1"/>
    <col min="6417" max="6417" width="4" style="129" customWidth="1"/>
    <col min="6418" max="6418" width="3" style="129" customWidth="1"/>
    <col min="6419" max="6419" width="3.85546875" style="129" customWidth="1"/>
    <col min="6420" max="6420" width="4.35546875" style="129" customWidth="1"/>
    <col min="6421" max="6421" width="3.35546875" style="129" customWidth="1"/>
    <col min="6422" max="6422" width="4.85546875" style="129" customWidth="1"/>
    <col min="6423" max="6423" width="10.640625" style="129" customWidth="1"/>
    <col min="6424" max="6424" width="7.140625" style="129" customWidth="1"/>
    <col min="6425" max="6425" width="8.140625" style="129" customWidth="1"/>
    <col min="6426" max="6426" width="7.640625" style="129" customWidth="1"/>
    <col min="6427" max="6428" width="7.7109375" style="129" customWidth="1"/>
    <col min="6429" max="6429" width="7.140625" style="129" customWidth="1"/>
    <col min="6430" max="6655" width="9.140625" style="129"/>
    <col min="6656" max="6656" width="4.35546875" style="129" customWidth="1"/>
    <col min="6657" max="6657" width="20.640625" style="129" customWidth="1"/>
    <col min="6658" max="6658" width="12.35546875" style="129" customWidth="1"/>
    <col min="6659" max="6659" width="12.640625" style="129" customWidth="1"/>
    <col min="6660" max="6660" width="3.85546875" style="129" customWidth="1"/>
    <col min="6661" max="6661" width="4.2109375" style="129" customWidth="1"/>
    <col min="6662" max="6662" width="4.140625" style="129" customWidth="1"/>
    <col min="6663" max="6663" width="4" style="129" customWidth="1"/>
    <col min="6664" max="6664" width="16.35546875" style="129" customWidth="1"/>
    <col min="6665" max="6665" width="5.640625" style="129" customWidth="1"/>
    <col min="6666" max="6666" width="8.7109375" style="129" customWidth="1"/>
    <col min="6667" max="6667" width="5.35546875" style="129" customWidth="1"/>
    <col min="6668" max="6668" width="4.35546875" style="129" customWidth="1"/>
    <col min="6669" max="6669" width="4.2109375" style="129" customWidth="1"/>
    <col min="6670" max="6670" width="3.140625" style="129" customWidth="1"/>
    <col min="6671" max="6671" width="4.640625" style="129" customWidth="1"/>
    <col min="6672" max="6672" width="4.35546875" style="129" customWidth="1"/>
    <col min="6673" max="6673" width="4" style="129" customWidth="1"/>
    <col min="6674" max="6674" width="3" style="129" customWidth="1"/>
    <col min="6675" max="6675" width="3.85546875" style="129" customWidth="1"/>
    <col min="6676" max="6676" width="4.35546875" style="129" customWidth="1"/>
    <col min="6677" max="6677" width="3.35546875" style="129" customWidth="1"/>
    <col min="6678" max="6678" width="4.85546875" style="129" customWidth="1"/>
    <col min="6679" max="6679" width="10.640625" style="129" customWidth="1"/>
    <col min="6680" max="6680" width="7.140625" style="129" customWidth="1"/>
    <col min="6681" max="6681" width="8.140625" style="129" customWidth="1"/>
    <col min="6682" max="6682" width="7.640625" style="129" customWidth="1"/>
    <col min="6683" max="6684" width="7.7109375" style="129" customWidth="1"/>
    <col min="6685" max="6685" width="7.140625" style="129" customWidth="1"/>
    <col min="6686" max="6911" width="9.140625" style="129"/>
    <col min="6912" max="6912" width="4.35546875" style="129" customWidth="1"/>
    <col min="6913" max="6913" width="20.640625" style="129" customWidth="1"/>
    <col min="6914" max="6914" width="12.35546875" style="129" customWidth="1"/>
    <col min="6915" max="6915" width="12.640625" style="129" customWidth="1"/>
    <col min="6916" max="6916" width="3.85546875" style="129" customWidth="1"/>
    <col min="6917" max="6917" width="4.2109375" style="129" customWidth="1"/>
    <col min="6918" max="6918" width="4.140625" style="129" customWidth="1"/>
    <col min="6919" max="6919" width="4" style="129" customWidth="1"/>
    <col min="6920" max="6920" width="16.35546875" style="129" customWidth="1"/>
    <col min="6921" max="6921" width="5.640625" style="129" customWidth="1"/>
    <col min="6922" max="6922" width="8.7109375" style="129" customWidth="1"/>
    <col min="6923" max="6923" width="5.35546875" style="129" customWidth="1"/>
    <col min="6924" max="6924" width="4.35546875" style="129" customWidth="1"/>
    <col min="6925" max="6925" width="4.2109375" style="129" customWidth="1"/>
    <col min="6926" max="6926" width="3.140625" style="129" customWidth="1"/>
    <col min="6927" max="6927" width="4.640625" style="129" customWidth="1"/>
    <col min="6928" max="6928" width="4.35546875" style="129" customWidth="1"/>
    <col min="6929" max="6929" width="4" style="129" customWidth="1"/>
    <col min="6930" max="6930" width="3" style="129" customWidth="1"/>
    <col min="6931" max="6931" width="3.85546875" style="129" customWidth="1"/>
    <col min="6932" max="6932" width="4.35546875" style="129" customWidth="1"/>
    <col min="6933" max="6933" width="3.35546875" style="129" customWidth="1"/>
    <col min="6934" max="6934" width="4.85546875" style="129" customWidth="1"/>
    <col min="6935" max="6935" width="10.640625" style="129" customWidth="1"/>
    <col min="6936" max="6936" width="7.140625" style="129" customWidth="1"/>
    <col min="6937" max="6937" width="8.140625" style="129" customWidth="1"/>
    <col min="6938" max="6938" width="7.640625" style="129" customWidth="1"/>
    <col min="6939" max="6940" width="7.7109375" style="129" customWidth="1"/>
    <col min="6941" max="6941" width="7.140625" style="129" customWidth="1"/>
    <col min="6942" max="7167" width="9.140625" style="129"/>
    <col min="7168" max="7168" width="4.35546875" style="129" customWidth="1"/>
    <col min="7169" max="7169" width="20.640625" style="129" customWidth="1"/>
    <col min="7170" max="7170" width="12.35546875" style="129" customWidth="1"/>
    <col min="7171" max="7171" width="12.640625" style="129" customWidth="1"/>
    <col min="7172" max="7172" width="3.85546875" style="129" customWidth="1"/>
    <col min="7173" max="7173" width="4.2109375" style="129" customWidth="1"/>
    <col min="7174" max="7174" width="4.140625" style="129" customWidth="1"/>
    <col min="7175" max="7175" width="4" style="129" customWidth="1"/>
    <col min="7176" max="7176" width="16.35546875" style="129" customWidth="1"/>
    <col min="7177" max="7177" width="5.640625" style="129" customWidth="1"/>
    <col min="7178" max="7178" width="8.7109375" style="129" customWidth="1"/>
    <col min="7179" max="7179" width="5.35546875" style="129" customWidth="1"/>
    <col min="7180" max="7180" width="4.35546875" style="129" customWidth="1"/>
    <col min="7181" max="7181" width="4.2109375" style="129" customWidth="1"/>
    <col min="7182" max="7182" width="3.140625" style="129" customWidth="1"/>
    <col min="7183" max="7183" width="4.640625" style="129" customWidth="1"/>
    <col min="7184" max="7184" width="4.35546875" style="129" customWidth="1"/>
    <col min="7185" max="7185" width="4" style="129" customWidth="1"/>
    <col min="7186" max="7186" width="3" style="129" customWidth="1"/>
    <col min="7187" max="7187" width="3.85546875" style="129" customWidth="1"/>
    <col min="7188" max="7188" width="4.35546875" style="129" customWidth="1"/>
    <col min="7189" max="7189" width="3.35546875" style="129" customWidth="1"/>
    <col min="7190" max="7190" width="4.85546875" style="129" customWidth="1"/>
    <col min="7191" max="7191" width="10.640625" style="129" customWidth="1"/>
    <col min="7192" max="7192" width="7.140625" style="129" customWidth="1"/>
    <col min="7193" max="7193" width="8.140625" style="129" customWidth="1"/>
    <col min="7194" max="7194" width="7.640625" style="129" customWidth="1"/>
    <col min="7195" max="7196" width="7.7109375" style="129" customWidth="1"/>
    <col min="7197" max="7197" width="7.140625" style="129" customWidth="1"/>
    <col min="7198" max="7423" width="9.140625" style="129"/>
    <col min="7424" max="7424" width="4.35546875" style="129" customWidth="1"/>
    <col min="7425" max="7425" width="20.640625" style="129" customWidth="1"/>
    <col min="7426" max="7426" width="12.35546875" style="129" customWidth="1"/>
    <col min="7427" max="7427" width="12.640625" style="129" customWidth="1"/>
    <col min="7428" max="7428" width="3.85546875" style="129" customWidth="1"/>
    <col min="7429" max="7429" width="4.2109375" style="129" customWidth="1"/>
    <col min="7430" max="7430" width="4.140625" style="129" customWidth="1"/>
    <col min="7431" max="7431" width="4" style="129" customWidth="1"/>
    <col min="7432" max="7432" width="16.35546875" style="129" customWidth="1"/>
    <col min="7433" max="7433" width="5.640625" style="129" customWidth="1"/>
    <col min="7434" max="7434" width="8.7109375" style="129" customWidth="1"/>
    <col min="7435" max="7435" width="5.35546875" style="129" customWidth="1"/>
    <col min="7436" max="7436" width="4.35546875" style="129" customWidth="1"/>
    <col min="7437" max="7437" width="4.2109375" style="129" customWidth="1"/>
    <col min="7438" max="7438" width="3.140625" style="129" customWidth="1"/>
    <col min="7439" max="7439" width="4.640625" style="129" customWidth="1"/>
    <col min="7440" max="7440" width="4.35546875" style="129" customWidth="1"/>
    <col min="7441" max="7441" width="4" style="129" customWidth="1"/>
    <col min="7442" max="7442" width="3" style="129" customWidth="1"/>
    <col min="7443" max="7443" width="3.85546875" style="129" customWidth="1"/>
    <col min="7444" max="7444" width="4.35546875" style="129" customWidth="1"/>
    <col min="7445" max="7445" width="3.35546875" style="129" customWidth="1"/>
    <col min="7446" max="7446" width="4.85546875" style="129" customWidth="1"/>
    <col min="7447" max="7447" width="10.640625" style="129" customWidth="1"/>
    <col min="7448" max="7448" width="7.140625" style="129" customWidth="1"/>
    <col min="7449" max="7449" width="8.140625" style="129" customWidth="1"/>
    <col min="7450" max="7450" width="7.640625" style="129" customWidth="1"/>
    <col min="7451" max="7452" width="7.7109375" style="129" customWidth="1"/>
    <col min="7453" max="7453" width="7.140625" style="129" customWidth="1"/>
    <col min="7454" max="7679" width="9.140625" style="129"/>
    <col min="7680" max="7680" width="4.35546875" style="129" customWidth="1"/>
    <col min="7681" max="7681" width="20.640625" style="129" customWidth="1"/>
    <col min="7682" max="7682" width="12.35546875" style="129" customWidth="1"/>
    <col min="7683" max="7683" width="12.640625" style="129" customWidth="1"/>
    <col min="7684" max="7684" width="3.85546875" style="129" customWidth="1"/>
    <col min="7685" max="7685" width="4.2109375" style="129" customWidth="1"/>
    <col min="7686" max="7686" width="4.140625" style="129" customWidth="1"/>
    <col min="7687" max="7687" width="4" style="129" customWidth="1"/>
    <col min="7688" max="7688" width="16.35546875" style="129" customWidth="1"/>
    <col min="7689" max="7689" width="5.640625" style="129" customWidth="1"/>
    <col min="7690" max="7690" width="8.7109375" style="129" customWidth="1"/>
    <col min="7691" max="7691" width="5.35546875" style="129" customWidth="1"/>
    <col min="7692" max="7692" width="4.35546875" style="129" customWidth="1"/>
    <col min="7693" max="7693" width="4.2109375" style="129" customWidth="1"/>
    <col min="7694" max="7694" width="3.140625" style="129" customWidth="1"/>
    <col min="7695" max="7695" width="4.640625" style="129" customWidth="1"/>
    <col min="7696" max="7696" width="4.35546875" style="129" customWidth="1"/>
    <col min="7697" max="7697" width="4" style="129" customWidth="1"/>
    <col min="7698" max="7698" width="3" style="129" customWidth="1"/>
    <col min="7699" max="7699" width="3.85546875" style="129" customWidth="1"/>
    <col min="7700" max="7700" width="4.35546875" style="129" customWidth="1"/>
    <col min="7701" max="7701" width="3.35546875" style="129" customWidth="1"/>
    <col min="7702" max="7702" width="4.85546875" style="129" customWidth="1"/>
    <col min="7703" max="7703" width="10.640625" style="129" customWidth="1"/>
    <col min="7704" max="7704" width="7.140625" style="129" customWidth="1"/>
    <col min="7705" max="7705" width="8.140625" style="129" customWidth="1"/>
    <col min="7706" max="7706" width="7.640625" style="129" customWidth="1"/>
    <col min="7707" max="7708" width="7.7109375" style="129" customWidth="1"/>
    <col min="7709" max="7709" width="7.140625" style="129" customWidth="1"/>
    <col min="7710" max="7935" width="9.140625" style="129"/>
    <col min="7936" max="7936" width="4.35546875" style="129" customWidth="1"/>
    <col min="7937" max="7937" width="20.640625" style="129" customWidth="1"/>
    <col min="7938" max="7938" width="12.35546875" style="129" customWidth="1"/>
    <col min="7939" max="7939" width="12.640625" style="129" customWidth="1"/>
    <col min="7940" max="7940" width="3.85546875" style="129" customWidth="1"/>
    <col min="7941" max="7941" width="4.2109375" style="129" customWidth="1"/>
    <col min="7942" max="7942" width="4.140625" style="129" customWidth="1"/>
    <col min="7943" max="7943" width="4" style="129" customWidth="1"/>
    <col min="7944" max="7944" width="16.35546875" style="129" customWidth="1"/>
    <col min="7945" max="7945" width="5.640625" style="129" customWidth="1"/>
    <col min="7946" max="7946" width="8.7109375" style="129" customWidth="1"/>
    <col min="7947" max="7947" width="5.35546875" style="129" customWidth="1"/>
    <col min="7948" max="7948" width="4.35546875" style="129" customWidth="1"/>
    <col min="7949" max="7949" width="4.2109375" style="129" customWidth="1"/>
    <col min="7950" max="7950" width="3.140625" style="129" customWidth="1"/>
    <col min="7951" max="7951" width="4.640625" style="129" customWidth="1"/>
    <col min="7952" max="7952" width="4.35546875" style="129" customWidth="1"/>
    <col min="7953" max="7953" width="4" style="129" customWidth="1"/>
    <col min="7954" max="7954" width="3" style="129" customWidth="1"/>
    <col min="7955" max="7955" width="3.85546875" style="129" customWidth="1"/>
    <col min="7956" max="7956" width="4.35546875" style="129" customWidth="1"/>
    <col min="7957" max="7957" width="3.35546875" style="129" customWidth="1"/>
    <col min="7958" max="7958" width="4.85546875" style="129" customWidth="1"/>
    <col min="7959" max="7959" width="10.640625" style="129" customWidth="1"/>
    <col min="7960" max="7960" width="7.140625" style="129" customWidth="1"/>
    <col min="7961" max="7961" width="8.140625" style="129" customWidth="1"/>
    <col min="7962" max="7962" width="7.640625" style="129" customWidth="1"/>
    <col min="7963" max="7964" width="7.7109375" style="129" customWidth="1"/>
    <col min="7965" max="7965" width="7.140625" style="129" customWidth="1"/>
    <col min="7966" max="8191" width="9.140625" style="129"/>
    <col min="8192" max="8192" width="4.35546875" style="129" customWidth="1"/>
    <col min="8193" max="8193" width="20.640625" style="129" customWidth="1"/>
    <col min="8194" max="8194" width="12.35546875" style="129" customWidth="1"/>
    <col min="8195" max="8195" width="12.640625" style="129" customWidth="1"/>
    <col min="8196" max="8196" width="3.85546875" style="129" customWidth="1"/>
    <col min="8197" max="8197" width="4.2109375" style="129" customWidth="1"/>
    <col min="8198" max="8198" width="4.140625" style="129" customWidth="1"/>
    <col min="8199" max="8199" width="4" style="129" customWidth="1"/>
    <col min="8200" max="8200" width="16.35546875" style="129" customWidth="1"/>
    <col min="8201" max="8201" width="5.640625" style="129" customWidth="1"/>
    <col min="8202" max="8202" width="8.7109375" style="129" customWidth="1"/>
    <col min="8203" max="8203" width="5.35546875" style="129" customWidth="1"/>
    <col min="8204" max="8204" width="4.35546875" style="129" customWidth="1"/>
    <col min="8205" max="8205" width="4.2109375" style="129" customWidth="1"/>
    <col min="8206" max="8206" width="3.140625" style="129" customWidth="1"/>
    <col min="8207" max="8207" width="4.640625" style="129" customWidth="1"/>
    <col min="8208" max="8208" width="4.35546875" style="129" customWidth="1"/>
    <col min="8209" max="8209" width="4" style="129" customWidth="1"/>
    <col min="8210" max="8210" width="3" style="129" customWidth="1"/>
    <col min="8211" max="8211" width="3.85546875" style="129" customWidth="1"/>
    <col min="8212" max="8212" width="4.35546875" style="129" customWidth="1"/>
    <col min="8213" max="8213" width="3.35546875" style="129" customWidth="1"/>
    <col min="8214" max="8214" width="4.85546875" style="129" customWidth="1"/>
    <col min="8215" max="8215" width="10.640625" style="129" customWidth="1"/>
    <col min="8216" max="8216" width="7.140625" style="129" customWidth="1"/>
    <col min="8217" max="8217" width="8.140625" style="129" customWidth="1"/>
    <col min="8218" max="8218" width="7.640625" style="129" customWidth="1"/>
    <col min="8219" max="8220" width="7.7109375" style="129" customWidth="1"/>
    <col min="8221" max="8221" width="7.140625" style="129" customWidth="1"/>
    <col min="8222" max="8447" width="9.140625" style="129"/>
    <col min="8448" max="8448" width="4.35546875" style="129" customWidth="1"/>
    <col min="8449" max="8449" width="20.640625" style="129" customWidth="1"/>
    <col min="8450" max="8450" width="12.35546875" style="129" customWidth="1"/>
    <col min="8451" max="8451" width="12.640625" style="129" customWidth="1"/>
    <col min="8452" max="8452" width="3.85546875" style="129" customWidth="1"/>
    <col min="8453" max="8453" width="4.2109375" style="129" customWidth="1"/>
    <col min="8454" max="8454" width="4.140625" style="129" customWidth="1"/>
    <col min="8455" max="8455" width="4" style="129" customWidth="1"/>
    <col min="8456" max="8456" width="16.35546875" style="129" customWidth="1"/>
    <col min="8457" max="8457" width="5.640625" style="129" customWidth="1"/>
    <col min="8458" max="8458" width="8.7109375" style="129" customWidth="1"/>
    <col min="8459" max="8459" width="5.35546875" style="129" customWidth="1"/>
    <col min="8460" max="8460" width="4.35546875" style="129" customWidth="1"/>
    <col min="8461" max="8461" width="4.2109375" style="129" customWidth="1"/>
    <col min="8462" max="8462" width="3.140625" style="129" customWidth="1"/>
    <col min="8463" max="8463" width="4.640625" style="129" customWidth="1"/>
    <col min="8464" max="8464" width="4.35546875" style="129" customWidth="1"/>
    <col min="8465" max="8465" width="4" style="129" customWidth="1"/>
    <col min="8466" max="8466" width="3" style="129" customWidth="1"/>
    <col min="8467" max="8467" width="3.85546875" style="129" customWidth="1"/>
    <col min="8468" max="8468" width="4.35546875" style="129" customWidth="1"/>
    <col min="8469" max="8469" width="3.35546875" style="129" customWidth="1"/>
    <col min="8470" max="8470" width="4.85546875" style="129" customWidth="1"/>
    <col min="8471" max="8471" width="10.640625" style="129" customWidth="1"/>
    <col min="8472" max="8472" width="7.140625" style="129" customWidth="1"/>
    <col min="8473" max="8473" width="8.140625" style="129" customWidth="1"/>
    <col min="8474" max="8474" width="7.640625" style="129" customWidth="1"/>
    <col min="8475" max="8476" width="7.7109375" style="129" customWidth="1"/>
    <col min="8477" max="8477" width="7.140625" style="129" customWidth="1"/>
    <col min="8478" max="8703" width="9.140625" style="129"/>
    <col min="8704" max="8704" width="4.35546875" style="129" customWidth="1"/>
    <col min="8705" max="8705" width="20.640625" style="129" customWidth="1"/>
    <col min="8706" max="8706" width="12.35546875" style="129" customWidth="1"/>
    <col min="8707" max="8707" width="12.640625" style="129" customWidth="1"/>
    <col min="8708" max="8708" width="3.85546875" style="129" customWidth="1"/>
    <col min="8709" max="8709" width="4.2109375" style="129" customWidth="1"/>
    <col min="8710" max="8710" width="4.140625" style="129" customWidth="1"/>
    <col min="8711" max="8711" width="4" style="129" customWidth="1"/>
    <col min="8712" max="8712" width="16.35546875" style="129" customWidth="1"/>
    <col min="8713" max="8713" width="5.640625" style="129" customWidth="1"/>
    <col min="8714" max="8714" width="8.7109375" style="129" customWidth="1"/>
    <col min="8715" max="8715" width="5.35546875" style="129" customWidth="1"/>
    <col min="8716" max="8716" width="4.35546875" style="129" customWidth="1"/>
    <col min="8717" max="8717" width="4.2109375" style="129" customWidth="1"/>
    <col min="8718" max="8718" width="3.140625" style="129" customWidth="1"/>
    <col min="8719" max="8719" width="4.640625" style="129" customWidth="1"/>
    <col min="8720" max="8720" width="4.35546875" style="129" customWidth="1"/>
    <col min="8721" max="8721" width="4" style="129" customWidth="1"/>
    <col min="8722" max="8722" width="3" style="129" customWidth="1"/>
    <col min="8723" max="8723" width="3.85546875" style="129" customWidth="1"/>
    <col min="8724" max="8724" width="4.35546875" style="129" customWidth="1"/>
    <col min="8725" max="8725" width="3.35546875" style="129" customWidth="1"/>
    <col min="8726" max="8726" width="4.85546875" style="129" customWidth="1"/>
    <col min="8727" max="8727" width="10.640625" style="129" customWidth="1"/>
    <col min="8728" max="8728" width="7.140625" style="129" customWidth="1"/>
    <col min="8729" max="8729" width="8.140625" style="129" customWidth="1"/>
    <col min="8730" max="8730" width="7.640625" style="129" customWidth="1"/>
    <col min="8731" max="8732" width="7.7109375" style="129" customWidth="1"/>
    <col min="8733" max="8733" width="7.140625" style="129" customWidth="1"/>
    <col min="8734" max="8959" width="9.140625" style="129"/>
    <col min="8960" max="8960" width="4.35546875" style="129" customWidth="1"/>
    <col min="8961" max="8961" width="20.640625" style="129" customWidth="1"/>
    <col min="8962" max="8962" width="12.35546875" style="129" customWidth="1"/>
    <col min="8963" max="8963" width="12.640625" style="129" customWidth="1"/>
    <col min="8964" max="8964" width="3.85546875" style="129" customWidth="1"/>
    <col min="8965" max="8965" width="4.2109375" style="129" customWidth="1"/>
    <col min="8966" max="8966" width="4.140625" style="129" customWidth="1"/>
    <col min="8967" max="8967" width="4" style="129" customWidth="1"/>
    <col min="8968" max="8968" width="16.35546875" style="129" customWidth="1"/>
    <col min="8969" max="8969" width="5.640625" style="129" customWidth="1"/>
    <col min="8970" max="8970" width="8.7109375" style="129" customWidth="1"/>
    <col min="8971" max="8971" width="5.35546875" style="129" customWidth="1"/>
    <col min="8972" max="8972" width="4.35546875" style="129" customWidth="1"/>
    <col min="8973" max="8973" width="4.2109375" style="129" customWidth="1"/>
    <col min="8974" max="8974" width="3.140625" style="129" customWidth="1"/>
    <col min="8975" max="8975" width="4.640625" style="129" customWidth="1"/>
    <col min="8976" max="8976" width="4.35546875" style="129" customWidth="1"/>
    <col min="8977" max="8977" width="4" style="129" customWidth="1"/>
    <col min="8978" max="8978" width="3" style="129" customWidth="1"/>
    <col min="8979" max="8979" width="3.85546875" style="129" customWidth="1"/>
    <col min="8980" max="8980" width="4.35546875" style="129" customWidth="1"/>
    <col min="8981" max="8981" width="3.35546875" style="129" customWidth="1"/>
    <col min="8982" max="8982" width="4.85546875" style="129" customWidth="1"/>
    <col min="8983" max="8983" width="10.640625" style="129" customWidth="1"/>
    <col min="8984" max="8984" width="7.140625" style="129" customWidth="1"/>
    <col min="8985" max="8985" width="8.140625" style="129" customWidth="1"/>
    <col min="8986" max="8986" width="7.640625" style="129" customWidth="1"/>
    <col min="8987" max="8988" width="7.7109375" style="129" customWidth="1"/>
    <col min="8989" max="8989" width="7.140625" style="129" customWidth="1"/>
    <col min="8990" max="9215" width="9.140625" style="129"/>
    <col min="9216" max="9216" width="4.35546875" style="129" customWidth="1"/>
    <col min="9217" max="9217" width="20.640625" style="129" customWidth="1"/>
    <col min="9218" max="9218" width="12.35546875" style="129" customWidth="1"/>
    <col min="9219" max="9219" width="12.640625" style="129" customWidth="1"/>
    <col min="9220" max="9220" width="3.85546875" style="129" customWidth="1"/>
    <col min="9221" max="9221" width="4.2109375" style="129" customWidth="1"/>
    <col min="9222" max="9222" width="4.140625" style="129" customWidth="1"/>
    <col min="9223" max="9223" width="4" style="129" customWidth="1"/>
    <col min="9224" max="9224" width="16.35546875" style="129" customWidth="1"/>
    <col min="9225" max="9225" width="5.640625" style="129" customWidth="1"/>
    <col min="9226" max="9226" width="8.7109375" style="129" customWidth="1"/>
    <col min="9227" max="9227" width="5.35546875" style="129" customWidth="1"/>
    <col min="9228" max="9228" width="4.35546875" style="129" customWidth="1"/>
    <col min="9229" max="9229" width="4.2109375" style="129" customWidth="1"/>
    <col min="9230" max="9230" width="3.140625" style="129" customWidth="1"/>
    <col min="9231" max="9231" width="4.640625" style="129" customWidth="1"/>
    <col min="9232" max="9232" width="4.35546875" style="129" customWidth="1"/>
    <col min="9233" max="9233" width="4" style="129" customWidth="1"/>
    <col min="9234" max="9234" width="3" style="129" customWidth="1"/>
    <col min="9235" max="9235" width="3.85546875" style="129" customWidth="1"/>
    <col min="9236" max="9236" width="4.35546875" style="129" customWidth="1"/>
    <col min="9237" max="9237" width="3.35546875" style="129" customWidth="1"/>
    <col min="9238" max="9238" width="4.85546875" style="129" customWidth="1"/>
    <col min="9239" max="9239" width="10.640625" style="129" customWidth="1"/>
    <col min="9240" max="9240" width="7.140625" style="129" customWidth="1"/>
    <col min="9241" max="9241" width="8.140625" style="129" customWidth="1"/>
    <col min="9242" max="9242" width="7.640625" style="129" customWidth="1"/>
    <col min="9243" max="9244" width="7.7109375" style="129" customWidth="1"/>
    <col min="9245" max="9245" width="7.140625" style="129" customWidth="1"/>
    <col min="9246" max="9471" width="9.140625" style="129"/>
    <col min="9472" max="9472" width="4.35546875" style="129" customWidth="1"/>
    <col min="9473" max="9473" width="20.640625" style="129" customWidth="1"/>
    <col min="9474" max="9474" width="12.35546875" style="129" customWidth="1"/>
    <col min="9475" max="9475" width="12.640625" style="129" customWidth="1"/>
    <col min="9476" max="9476" width="3.85546875" style="129" customWidth="1"/>
    <col min="9477" max="9477" width="4.2109375" style="129" customWidth="1"/>
    <col min="9478" max="9478" width="4.140625" style="129" customWidth="1"/>
    <col min="9479" max="9479" width="4" style="129" customWidth="1"/>
    <col min="9480" max="9480" width="16.35546875" style="129" customWidth="1"/>
    <col min="9481" max="9481" width="5.640625" style="129" customWidth="1"/>
    <col min="9482" max="9482" width="8.7109375" style="129" customWidth="1"/>
    <col min="9483" max="9483" width="5.35546875" style="129" customWidth="1"/>
    <col min="9484" max="9484" width="4.35546875" style="129" customWidth="1"/>
    <col min="9485" max="9485" width="4.2109375" style="129" customWidth="1"/>
    <col min="9486" max="9486" width="3.140625" style="129" customWidth="1"/>
    <col min="9487" max="9487" width="4.640625" style="129" customWidth="1"/>
    <col min="9488" max="9488" width="4.35546875" style="129" customWidth="1"/>
    <col min="9489" max="9489" width="4" style="129" customWidth="1"/>
    <col min="9490" max="9490" width="3" style="129" customWidth="1"/>
    <col min="9491" max="9491" width="3.85546875" style="129" customWidth="1"/>
    <col min="9492" max="9492" width="4.35546875" style="129" customWidth="1"/>
    <col min="9493" max="9493" width="3.35546875" style="129" customWidth="1"/>
    <col min="9494" max="9494" width="4.85546875" style="129" customWidth="1"/>
    <col min="9495" max="9495" width="10.640625" style="129" customWidth="1"/>
    <col min="9496" max="9496" width="7.140625" style="129" customWidth="1"/>
    <col min="9497" max="9497" width="8.140625" style="129" customWidth="1"/>
    <col min="9498" max="9498" width="7.640625" style="129" customWidth="1"/>
    <col min="9499" max="9500" width="7.7109375" style="129" customWidth="1"/>
    <col min="9501" max="9501" width="7.140625" style="129" customWidth="1"/>
    <col min="9502" max="9727" width="9.140625" style="129"/>
    <col min="9728" max="9728" width="4.35546875" style="129" customWidth="1"/>
    <col min="9729" max="9729" width="20.640625" style="129" customWidth="1"/>
    <col min="9730" max="9730" width="12.35546875" style="129" customWidth="1"/>
    <col min="9731" max="9731" width="12.640625" style="129" customWidth="1"/>
    <col min="9732" max="9732" width="3.85546875" style="129" customWidth="1"/>
    <col min="9733" max="9733" width="4.2109375" style="129" customWidth="1"/>
    <col min="9734" max="9734" width="4.140625" style="129" customWidth="1"/>
    <col min="9735" max="9735" width="4" style="129" customWidth="1"/>
    <col min="9736" max="9736" width="16.35546875" style="129" customWidth="1"/>
    <col min="9737" max="9737" width="5.640625" style="129" customWidth="1"/>
    <col min="9738" max="9738" width="8.7109375" style="129" customWidth="1"/>
    <col min="9739" max="9739" width="5.35546875" style="129" customWidth="1"/>
    <col min="9740" max="9740" width="4.35546875" style="129" customWidth="1"/>
    <col min="9741" max="9741" width="4.2109375" style="129" customWidth="1"/>
    <col min="9742" max="9742" width="3.140625" style="129" customWidth="1"/>
    <col min="9743" max="9743" width="4.640625" style="129" customWidth="1"/>
    <col min="9744" max="9744" width="4.35546875" style="129" customWidth="1"/>
    <col min="9745" max="9745" width="4" style="129" customWidth="1"/>
    <col min="9746" max="9746" width="3" style="129" customWidth="1"/>
    <col min="9747" max="9747" width="3.85546875" style="129" customWidth="1"/>
    <col min="9748" max="9748" width="4.35546875" style="129" customWidth="1"/>
    <col min="9749" max="9749" width="3.35546875" style="129" customWidth="1"/>
    <col min="9750" max="9750" width="4.85546875" style="129" customWidth="1"/>
    <col min="9751" max="9751" width="10.640625" style="129" customWidth="1"/>
    <col min="9752" max="9752" width="7.140625" style="129" customWidth="1"/>
    <col min="9753" max="9753" width="8.140625" style="129" customWidth="1"/>
    <col min="9754" max="9754" width="7.640625" style="129" customWidth="1"/>
    <col min="9755" max="9756" width="7.7109375" style="129" customWidth="1"/>
    <col min="9757" max="9757" width="7.140625" style="129" customWidth="1"/>
    <col min="9758" max="9983" width="9.140625" style="129"/>
    <col min="9984" max="9984" width="4.35546875" style="129" customWidth="1"/>
    <col min="9985" max="9985" width="20.640625" style="129" customWidth="1"/>
    <col min="9986" max="9986" width="12.35546875" style="129" customWidth="1"/>
    <col min="9987" max="9987" width="12.640625" style="129" customWidth="1"/>
    <col min="9988" max="9988" width="3.85546875" style="129" customWidth="1"/>
    <col min="9989" max="9989" width="4.2109375" style="129" customWidth="1"/>
    <col min="9990" max="9990" width="4.140625" style="129" customWidth="1"/>
    <col min="9991" max="9991" width="4" style="129" customWidth="1"/>
    <col min="9992" max="9992" width="16.35546875" style="129" customWidth="1"/>
    <col min="9993" max="9993" width="5.640625" style="129" customWidth="1"/>
    <col min="9994" max="9994" width="8.7109375" style="129" customWidth="1"/>
    <col min="9995" max="9995" width="5.35546875" style="129" customWidth="1"/>
    <col min="9996" max="9996" width="4.35546875" style="129" customWidth="1"/>
    <col min="9997" max="9997" width="4.2109375" style="129" customWidth="1"/>
    <col min="9998" max="9998" width="3.140625" style="129" customWidth="1"/>
    <col min="9999" max="9999" width="4.640625" style="129" customWidth="1"/>
    <col min="10000" max="10000" width="4.35546875" style="129" customWidth="1"/>
    <col min="10001" max="10001" width="4" style="129" customWidth="1"/>
    <col min="10002" max="10002" width="3" style="129" customWidth="1"/>
    <col min="10003" max="10003" width="3.85546875" style="129" customWidth="1"/>
    <col min="10004" max="10004" width="4.35546875" style="129" customWidth="1"/>
    <col min="10005" max="10005" width="3.35546875" style="129" customWidth="1"/>
    <col min="10006" max="10006" width="4.85546875" style="129" customWidth="1"/>
    <col min="10007" max="10007" width="10.640625" style="129" customWidth="1"/>
    <col min="10008" max="10008" width="7.140625" style="129" customWidth="1"/>
    <col min="10009" max="10009" width="8.140625" style="129" customWidth="1"/>
    <col min="10010" max="10010" width="7.640625" style="129" customWidth="1"/>
    <col min="10011" max="10012" width="7.7109375" style="129" customWidth="1"/>
    <col min="10013" max="10013" width="7.140625" style="129" customWidth="1"/>
    <col min="10014" max="10239" width="9.140625" style="129"/>
    <col min="10240" max="10240" width="4.35546875" style="129" customWidth="1"/>
    <col min="10241" max="10241" width="20.640625" style="129" customWidth="1"/>
    <col min="10242" max="10242" width="12.35546875" style="129" customWidth="1"/>
    <col min="10243" max="10243" width="12.640625" style="129" customWidth="1"/>
    <col min="10244" max="10244" width="3.85546875" style="129" customWidth="1"/>
    <col min="10245" max="10245" width="4.2109375" style="129" customWidth="1"/>
    <col min="10246" max="10246" width="4.140625" style="129" customWidth="1"/>
    <col min="10247" max="10247" width="4" style="129" customWidth="1"/>
    <col min="10248" max="10248" width="16.35546875" style="129" customWidth="1"/>
    <col min="10249" max="10249" width="5.640625" style="129" customWidth="1"/>
    <col min="10250" max="10250" width="8.7109375" style="129" customWidth="1"/>
    <col min="10251" max="10251" width="5.35546875" style="129" customWidth="1"/>
    <col min="10252" max="10252" width="4.35546875" style="129" customWidth="1"/>
    <col min="10253" max="10253" width="4.2109375" style="129" customWidth="1"/>
    <col min="10254" max="10254" width="3.140625" style="129" customWidth="1"/>
    <col min="10255" max="10255" width="4.640625" style="129" customWidth="1"/>
    <col min="10256" max="10256" width="4.35546875" style="129" customWidth="1"/>
    <col min="10257" max="10257" width="4" style="129" customWidth="1"/>
    <col min="10258" max="10258" width="3" style="129" customWidth="1"/>
    <col min="10259" max="10259" width="3.85546875" style="129" customWidth="1"/>
    <col min="10260" max="10260" width="4.35546875" style="129" customWidth="1"/>
    <col min="10261" max="10261" width="3.35546875" style="129" customWidth="1"/>
    <col min="10262" max="10262" width="4.85546875" style="129" customWidth="1"/>
    <col min="10263" max="10263" width="10.640625" style="129" customWidth="1"/>
    <col min="10264" max="10264" width="7.140625" style="129" customWidth="1"/>
    <col min="10265" max="10265" width="8.140625" style="129" customWidth="1"/>
    <col min="10266" max="10266" width="7.640625" style="129" customWidth="1"/>
    <col min="10267" max="10268" width="7.7109375" style="129" customWidth="1"/>
    <col min="10269" max="10269" width="7.140625" style="129" customWidth="1"/>
    <col min="10270" max="10495" width="9.140625" style="129"/>
    <col min="10496" max="10496" width="4.35546875" style="129" customWidth="1"/>
    <col min="10497" max="10497" width="20.640625" style="129" customWidth="1"/>
    <col min="10498" max="10498" width="12.35546875" style="129" customWidth="1"/>
    <col min="10499" max="10499" width="12.640625" style="129" customWidth="1"/>
    <col min="10500" max="10500" width="3.85546875" style="129" customWidth="1"/>
    <col min="10501" max="10501" width="4.2109375" style="129" customWidth="1"/>
    <col min="10502" max="10502" width="4.140625" style="129" customWidth="1"/>
    <col min="10503" max="10503" width="4" style="129" customWidth="1"/>
    <col min="10504" max="10504" width="16.35546875" style="129" customWidth="1"/>
    <col min="10505" max="10505" width="5.640625" style="129" customWidth="1"/>
    <col min="10506" max="10506" width="8.7109375" style="129" customWidth="1"/>
    <col min="10507" max="10507" width="5.35546875" style="129" customWidth="1"/>
    <col min="10508" max="10508" width="4.35546875" style="129" customWidth="1"/>
    <col min="10509" max="10509" width="4.2109375" style="129" customWidth="1"/>
    <col min="10510" max="10510" width="3.140625" style="129" customWidth="1"/>
    <col min="10511" max="10511" width="4.640625" style="129" customWidth="1"/>
    <col min="10512" max="10512" width="4.35546875" style="129" customWidth="1"/>
    <col min="10513" max="10513" width="4" style="129" customWidth="1"/>
    <col min="10514" max="10514" width="3" style="129" customWidth="1"/>
    <col min="10515" max="10515" width="3.85546875" style="129" customWidth="1"/>
    <col min="10516" max="10516" width="4.35546875" style="129" customWidth="1"/>
    <col min="10517" max="10517" width="3.35546875" style="129" customWidth="1"/>
    <col min="10518" max="10518" width="4.85546875" style="129" customWidth="1"/>
    <col min="10519" max="10519" width="10.640625" style="129" customWidth="1"/>
    <col min="10520" max="10520" width="7.140625" style="129" customWidth="1"/>
    <col min="10521" max="10521" width="8.140625" style="129" customWidth="1"/>
    <col min="10522" max="10522" width="7.640625" style="129" customWidth="1"/>
    <col min="10523" max="10524" width="7.7109375" style="129" customWidth="1"/>
    <col min="10525" max="10525" width="7.140625" style="129" customWidth="1"/>
    <col min="10526" max="10751" width="9.140625" style="129"/>
    <col min="10752" max="10752" width="4.35546875" style="129" customWidth="1"/>
    <col min="10753" max="10753" width="20.640625" style="129" customWidth="1"/>
    <col min="10754" max="10754" width="12.35546875" style="129" customWidth="1"/>
    <col min="10755" max="10755" width="12.640625" style="129" customWidth="1"/>
    <col min="10756" max="10756" width="3.85546875" style="129" customWidth="1"/>
    <col min="10757" max="10757" width="4.2109375" style="129" customWidth="1"/>
    <col min="10758" max="10758" width="4.140625" style="129" customWidth="1"/>
    <col min="10759" max="10759" width="4" style="129" customWidth="1"/>
    <col min="10760" max="10760" width="16.35546875" style="129" customWidth="1"/>
    <col min="10761" max="10761" width="5.640625" style="129" customWidth="1"/>
    <col min="10762" max="10762" width="8.7109375" style="129" customWidth="1"/>
    <col min="10763" max="10763" width="5.35546875" style="129" customWidth="1"/>
    <col min="10764" max="10764" width="4.35546875" style="129" customWidth="1"/>
    <col min="10765" max="10765" width="4.2109375" style="129" customWidth="1"/>
    <col min="10766" max="10766" width="3.140625" style="129" customWidth="1"/>
    <col min="10767" max="10767" width="4.640625" style="129" customWidth="1"/>
    <col min="10768" max="10768" width="4.35546875" style="129" customWidth="1"/>
    <col min="10769" max="10769" width="4" style="129" customWidth="1"/>
    <col min="10770" max="10770" width="3" style="129" customWidth="1"/>
    <col min="10771" max="10771" width="3.85546875" style="129" customWidth="1"/>
    <col min="10772" max="10772" width="4.35546875" style="129" customWidth="1"/>
    <col min="10773" max="10773" width="3.35546875" style="129" customWidth="1"/>
    <col min="10774" max="10774" width="4.85546875" style="129" customWidth="1"/>
    <col min="10775" max="10775" width="10.640625" style="129" customWidth="1"/>
    <col min="10776" max="10776" width="7.140625" style="129" customWidth="1"/>
    <col min="10777" max="10777" width="8.140625" style="129" customWidth="1"/>
    <col min="10778" max="10778" width="7.640625" style="129" customWidth="1"/>
    <col min="10779" max="10780" width="7.7109375" style="129" customWidth="1"/>
    <col min="10781" max="10781" width="7.140625" style="129" customWidth="1"/>
    <col min="10782" max="11007" width="9.140625" style="129"/>
    <col min="11008" max="11008" width="4.35546875" style="129" customWidth="1"/>
    <col min="11009" max="11009" width="20.640625" style="129" customWidth="1"/>
    <col min="11010" max="11010" width="12.35546875" style="129" customWidth="1"/>
    <col min="11011" max="11011" width="12.640625" style="129" customWidth="1"/>
    <col min="11012" max="11012" width="3.85546875" style="129" customWidth="1"/>
    <col min="11013" max="11013" width="4.2109375" style="129" customWidth="1"/>
    <col min="11014" max="11014" width="4.140625" style="129" customWidth="1"/>
    <col min="11015" max="11015" width="4" style="129" customWidth="1"/>
    <col min="11016" max="11016" width="16.35546875" style="129" customWidth="1"/>
    <col min="11017" max="11017" width="5.640625" style="129" customWidth="1"/>
    <col min="11018" max="11018" width="8.7109375" style="129" customWidth="1"/>
    <col min="11019" max="11019" width="5.35546875" style="129" customWidth="1"/>
    <col min="11020" max="11020" width="4.35546875" style="129" customWidth="1"/>
    <col min="11021" max="11021" width="4.2109375" style="129" customWidth="1"/>
    <col min="11022" max="11022" width="3.140625" style="129" customWidth="1"/>
    <col min="11023" max="11023" width="4.640625" style="129" customWidth="1"/>
    <col min="11024" max="11024" width="4.35546875" style="129" customWidth="1"/>
    <col min="11025" max="11025" width="4" style="129" customWidth="1"/>
    <col min="11026" max="11026" width="3" style="129" customWidth="1"/>
    <col min="11027" max="11027" width="3.85546875" style="129" customWidth="1"/>
    <col min="11028" max="11028" width="4.35546875" style="129" customWidth="1"/>
    <col min="11029" max="11029" width="3.35546875" style="129" customWidth="1"/>
    <col min="11030" max="11030" width="4.85546875" style="129" customWidth="1"/>
    <col min="11031" max="11031" width="10.640625" style="129" customWidth="1"/>
    <col min="11032" max="11032" width="7.140625" style="129" customWidth="1"/>
    <col min="11033" max="11033" width="8.140625" style="129" customWidth="1"/>
    <col min="11034" max="11034" width="7.640625" style="129" customWidth="1"/>
    <col min="11035" max="11036" width="7.7109375" style="129" customWidth="1"/>
    <col min="11037" max="11037" width="7.140625" style="129" customWidth="1"/>
    <col min="11038" max="11263" width="9.140625" style="129"/>
    <col min="11264" max="11264" width="4.35546875" style="129" customWidth="1"/>
    <col min="11265" max="11265" width="20.640625" style="129" customWidth="1"/>
    <col min="11266" max="11266" width="12.35546875" style="129" customWidth="1"/>
    <col min="11267" max="11267" width="12.640625" style="129" customWidth="1"/>
    <col min="11268" max="11268" width="3.85546875" style="129" customWidth="1"/>
    <col min="11269" max="11269" width="4.2109375" style="129" customWidth="1"/>
    <col min="11270" max="11270" width="4.140625" style="129" customWidth="1"/>
    <col min="11271" max="11271" width="4" style="129" customWidth="1"/>
    <col min="11272" max="11272" width="16.35546875" style="129" customWidth="1"/>
    <col min="11273" max="11273" width="5.640625" style="129" customWidth="1"/>
    <col min="11274" max="11274" width="8.7109375" style="129" customWidth="1"/>
    <col min="11275" max="11275" width="5.35546875" style="129" customWidth="1"/>
    <col min="11276" max="11276" width="4.35546875" style="129" customWidth="1"/>
    <col min="11277" max="11277" width="4.2109375" style="129" customWidth="1"/>
    <col min="11278" max="11278" width="3.140625" style="129" customWidth="1"/>
    <col min="11279" max="11279" width="4.640625" style="129" customWidth="1"/>
    <col min="11280" max="11280" width="4.35546875" style="129" customWidth="1"/>
    <col min="11281" max="11281" width="4" style="129" customWidth="1"/>
    <col min="11282" max="11282" width="3" style="129" customWidth="1"/>
    <col min="11283" max="11283" width="3.85546875" style="129" customWidth="1"/>
    <col min="11284" max="11284" width="4.35546875" style="129" customWidth="1"/>
    <col min="11285" max="11285" width="3.35546875" style="129" customWidth="1"/>
    <col min="11286" max="11286" width="4.85546875" style="129" customWidth="1"/>
    <col min="11287" max="11287" width="10.640625" style="129" customWidth="1"/>
    <col min="11288" max="11288" width="7.140625" style="129" customWidth="1"/>
    <col min="11289" max="11289" width="8.140625" style="129" customWidth="1"/>
    <col min="11290" max="11290" width="7.640625" style="129" customWidth="1"/>
    <col min="11291" max="11292" width="7.7109375" style="129" customWidth="1"/>
    <col min="11293" max="11293" width="7.140625" style="129" customWidth="1"/>
    <col min="11294" max="11519" width="9.140625" style="129"/>
    <col min="11520" max="11520" width="4.35546875" style="129" customWidth="1"/>
    <col min="11521" max="11521" width="20.640625" style="129" customWidth="1"/>
    <col min="11522" max="11522" width="12.35546875" style="129" customWidth="1"/>
    <col min="11523" max="11523" width="12.640625" style="129" customWidth="1"/>
    <col min="11524" max="11524" width="3.85546875" style="129" customWidth="1"/>
    <col min="11525" max="11525" width="4.2109375" style="129" customWidth="1"/>
    <col min="11526" max="11526" width="4.140625" style="129" customWidth="1"/>
    <col min="11527" max="11527" width="4" style="129" customWidth="1"/>
    <col min="11528" max="11528" width="16.35546875" style="129" customWidth="1"/>
    <col min="11529" max="11529" width="5.640625" style="129" customWidth="1"/>
    <col min="11530" max="11530" width="8.7109375" style="129" customWidth="1"/>
    <col min="11531" max="11531" width="5.35546875" style="129" customWidth="1"/>
    <col min="11532" max="11532" width="4.35546875" style="129" customWidth="1"/>
    <col min="11533" max="11533" width="4.2109375" style="129" customWidth="1"/>
    <col min="11534" max="11534" width="3.140625" style="129" customWidth="1"/>
    <col min="11535" max="11535" width="4.640625" style="129" customWidth="1"/>
    <col min="11536" max="11536" width="4.35546875" style="129" customWidth="1"/>
    <col min="11537" max="11537" width="4" style="129" customWidth="1"/>
    <col min="11538" max="11538" width="3" style="129" customWidth="1"/>
    <col min="11539" max="11539" width="3.85546875" style="129" customWidth="1"/>
    <col min="11540" max="11540" width="4.35546875" style="129" customWidth="1"/>
    <col min="11541" max="11541" width="3.35546875" style="129" customWidth="1"/>
    <col min="11542" max="11542" width="4.85546875" style="129" customWidth="1"/>
    <col min="11543" max="11543" width="10.640625" style="129" customWidth="1"/>
    <col min="11544" max="11544" width="7.140625" style="129" customWidth="1"/>
    <col min="11545" max="11545" width="8.140625" style="129" customWidth="1"/>
    <col min="11546" max="11546" width="7.640625" style="129" customWidth="1"/>
    <col min="11547" max="11548" width="7.7109375" style="129" customWidth="1"/>
    <col min="11549" max="11549" width="7.140625" style="129" customWidth="1"/>
    <col min="11550" max="11775" width="9.140625" style="129"/>
    <col min="11776" max="11776" width="4.35546875" style="129" customWidth="1"/>
    <col min="11777" max="11777" width="20.640625" style="129" customWidth="1"/>
    <col min="11778" max="11778" width="12.35546875" style="129" customWidth="1"/>
    <col min="11779" max="11779" width="12.640625" style="129" customWidth="1"/>
    <col min="11780" max="11780" width="3.85546875" style="129" customWidth="1"/>
    <col min="11781" max="11781" width="4.2109375" style="129" customWidth="1"/>
    <col min="11782" max="11782" width="4.140625" style="129" customWidth="1"/>
    <col min="11783" max="11783" width="4" style="129" customWidth="1"/>
    <col min="11784" max="11784" width="16.35546875" style="129" customWidth="1"/>
    <col min="11785" max="11785" width="5.640625" style="129" customWidth="1"/>
    <col min="11786" max="11786" width="8.7109375" style="129" customWidth="1"/>
    <col min="11787" max="11787" width="5.35546875" style="129" customWidth="1"/>
    <col min="11788" max="11788" width="4.35546875" style="129" customWidth="1"/>
    <col min="11789" max="11789" width="4.2109375" style="129" customWidth="1"/>
    <col min="11790" max="11790" width="3.140625" style="129" customWidth="1"/>
    <col min="11791" max="11791" width="4.640625" style="129" customWidth="1"/>
    <col min="11792" max="11792" width="4.35546875" style="129" customWidth="1"/>
    <col min="11793" max="11793" width="4" style="129" customWidth="1"/>
    <col min="11794" max="11794" width="3" style="129" customWidth="1"/>
    <col min="11795" max="11795" width="3.85546875" style="129" customWidth="1"/>
    <col min="11796" max="11796" width="4.35546875" style="129" customWidth="1"/>
    <col min="11797" max="11797" width="3.35546875" style="129" customWidth="1"/>
    <col min="11798" max="11798" width="4.85546875" style="129" customWidth="1"/>
    <col min="11799" max="11799" width="10.640625" style="129" customWidth="1"/>
    <col min="11800" max="11800" width="7.140625" style="129" customWidth="1"/>
    <col min="11801" max="11801" width="8.140625" style="129" customWidth="1"/>
    <col min="11802" max="11802" width="7.640625" style="129" customWidth="1"/>
    <col min="11803" max="11804" width="7.7109375" style="129" customWidth="1"/>
    <col min="11805" max="11805" width="7.140625" style="129" customWidth="1"/>
    <col min="11806" max="12031" width="9.140625" style="129"/>
    <col min="12032" max="12032" width="4.35546875" style="129" customWidth="1"/>
    <col min="12033" max="12033" width="20.640625" style="129" customWidth="1"/>
    <col min="12034" max="12034" width="12.35546875" style="129" customWidth="1"/>
    <col min="12035" max="12035" width="12.640625" style="129" customWidth="1"/>
    <col min="12036" max="12036" width="3.85546875" style="129" customWidth="1"/>
    <col min="12037" max="12037" width="4.2109375" style="129" customWidth="1"/>
    <col min="12038" max="12038" width="4.140625" style="129" customWidth="1"/>
    <col min="12039" max="12039" width="4" style="129" customWidth="1"/>
    <col min="12040" max="12040" width="16.35546875" style="129" customWidth="1"/>
    <col min="12041" max="12041" width="5.640625" style="129" customWidth="1"/>
    <col min="12042" max="12042" width="8.7109375" style="129" customWidth="1"/>
    <col min="12043" max="12043" width="5.35546875" style="129" customWidth="1"/>
    <col min="12044" max="12044" width="4.35546875" style="129" customWidth="1"/>
    <col min="12045" max="12045" width="4.2109375" style="129" customWidth="1"/>
    <col min="12046" max="12046" width="3.140625" style="129" customWidth="1"/>
    <col min="12047" max="12047" width="4.640625" style="129" customWidth="1"/>
    <col min="12048" max="12048" width="4.35546875" style="129" customWidth="1"/>
    <col min="12049" max="12049" width="4" style="129" customWidth="1"/>
    <col min="12050" max="12050" width="3" style="129" customWidth="1"/>
    <col min="12051" max="12051" width="3.85546875" style="129" customWidth="1"/>
    <col min="12052" max="12052" width="4.35546875" style="129" customWidth="1"/>
    <col min="12053" max="12053" width="3.35546875" style="129" customWidth="1"/>
    <col min="12054" max="12054" width="4.85546875" style="129" customWidth="1"/>
    <col min="12055" max="12055" width="10.640625" style="129" customWidth="1"/>
    <col min="12056" max="12056" width="7.140625" style="129" customWidth="1"/>
    <col min="12057" max="12057" width="8.140625" style="129" customWidth="1"/>
    <col min="12058" max="12058" width="7.640625" style="129" customWidth="1"/>
    <col min="12059" max="12060" width="7.7109375" style="129" customWidth="1"/>
    <col min="12061" max="12061" width="7.140625" style="129" customWidth="1"/>
    <col min="12062" max="12287" width="9.140625" style="129"/>
    <col min="12288" max="12288" width="4.35546875" style="129" customWidth="1"/>
    <col min="12289" max="12289" width="20.640625" style="129" customWidth="1"/>
    <col min="12290" max="12290" width="12.35546875" style="129" customWidth="1"/>
    <col min="12291" max="12291" width="12.640625" style="129" customWidth="1"/>
    <col min="12292" max="12292" width="3.85546875" style="129" customWidth="1"/>
    <col min="12293" max="12293" width="4.2109375" style="129" customWidth="1"/>
    <col min="12294" max="12294" width="4.140625" style="129" customWidth="1"/>
    <col min="12295" max="12295" width="4" style="129" customWidth="1"/>
    <col min="12296" max="12296" width="16.35546875" style="129" customWidth="1"/>
    <col min="12297" max="12297" width="5.640625" style="129" customWidth="1"/>
    <col min="12298" max="12298" width="8.7109375" style="129" customWidth="1"/>
    <col min="12299" max="12299" width="5.35546875" style="129" customWidth="1"/>
    <col min="12300" max="12300" width="4.35546875" style="129" customWidth="1"/>
    <col min="12301" max="12301" width="4.2109375" style="129" customWidth="1"/>
    <col min="12302" max="12302" width="3.140625" style="129" customWidth="1"/>
    <col min="12303" max="12303" width="4.640625" style="129" customWidth="1"/>
    <col min="12304" max="12304" width="4.35546875" style="129" customWidth="1"/>
    <col min="12305" max="12305" width="4" style="129" customWidth="1"/>
    <col min="12306" max="12306" width="3" style="129" customWidth="1"/>
    <col min="12307" max="12307" width="3.85546875" style="129" customWidth="1"/>
    <col min="12308" max="12308" width="4.35546875" style="129" customWidth="1"/>
    <col min="12309" max="12309" width="3.35546875" style="129" customWidth="1"/>
    <col min="12310" max="12310" width="4.85546875" style="129" customWidth="1"/>
    <col min="12311" max="12311" width="10.640625" style="129" customWidth="1"/>
    <col min="12312" max="12312" width="7.140625" style="129" customWidth="1"/>
    <col min="12313" max="12313" width="8.140625" style="129" customWidth="1"/>
    <col min="12314" max="12314" width="7.640625" style="129" customWidth="1"/>
    <col min="12315" max="12316" width="7.7109375" style="129" customWidth="1"/>
    <col min="12317" max="12317" width="7.140625" style="129" customWidth="1"/>
    <col min="12318" max="12543" width="9.140625" style="129"/>
    <col min="12544" max="12544" width="4.35546875" style="129" customWidth="1"/>
    <col min="12545" max="12545" width="20.640625" style="129" customWidth="1"/>
    <col min="12546" max="12546" width="12.35546875" style="129" customWidth="1"/>
    <col min="12547" max="12547" width="12.640625" style="129" customWidth="1"/>
    <col min="12548" max="12548" width="3.85546875" style="129" customWidth="1"/>
    <col min="12549" max="12549" width="4.2109375" style="129" customWidth="1"/>
    <col min="12550" max="12550" width="4.140625" style="129" customWidth="1"/>
    <col min="12551" max="12551" width="4" style="129" customWidth="1"/>
    <col min="12552" max="12552" width="16.35546875" style="129" customWidth="1"/>
    <col min="12553" max="12553" width="5.640625" style="129" customWidth="1"/>
    <col min="12554" max="12554" width="8.7109375" style="129" customWidth="1"/>
    <col min="12555" max="12555" width="5.35546875" style="129" customWidth="1"/>
    <col min="12556" max="12556" width="4.35546875" style="129" customWidth="1"/>
    <col min="12557" max="12557" width="4.2109375" style="129" customWidth="1"/>
    <col min="12558" max="12558" width="3.140625" style="129" customWidth="1"/>
    <col min="12559" max="12559" width="4.640625" style="129" customWidth="1"/>
    <col min="12560" max="12560" width="4.35546875" style="129" customWidth="1"/>
    <col min="12561" max="12561" width="4" style="129" customWidth="1"/>
    <col min="12562" max="12562" width="3" style="129" customWidth="1"/>
    <col min="12563" max="12563" width="3.85546875" style="129" customWidth="1"/>
    <col min="12564" max="12564" width="4.35546875" style="129" customWidth="1"/>
    <col min="12565" max="12565" width="3.35546875" style="129" customWidth="1"/>
    <col min="12566" max="12566" width="4.85546875" style="129" customWidth="1"/>
    <col min="12567" max="12567" width="10.640625" style="129" customWidth="1"/>
    <col min="12568" max="12568" width="7.140625" style="129" customWidth="1"/>
    <col min="12569" max="12569" width="8.140625" style="129" customWidth="1"/>
    <col min="12570" max="12570" width="7.640625" style="129" customWidth="1"/>
    <col min="12571" max="12572" width="7.7109375" style="129" customWidth="1"/>
    <col min="12573" max="12573" width="7.140625" style="129" customWidth="1"/>
    <col min="12574" max="12799" width="9.140625" style="129"/>
    <col min="12800" max="12800" width="4.35546875" style="129" customWidth="1"/>
    <col min="12801" max="12801" width="20.640625" style="129" customWidth="1"/>
    <col min="12802" max="12802" width="12.35546875" style="129" customWidth="1"/>
    <col min="12803" max="12803" width="12.640625" style="129" customWidth="1"/>
    <col min="12804" max="12804" width="3.85546875" style="129" customWidth="1"/>
    <col min="12805" max="12805" width="4.2109375" style="129" customWidth="1"/>
    <col min="12806" max="12806" width="4.140625" style="129" customWidth="1"/>
    <col min="12807" max="12807" width="4" style="129" customWidth="1"/>
    <col min="12808" max="12808" width="16.35546875" style="129" customWidth="1"/>
    <col min="12809" max="12809" width="5.640625" style="129" customWidth="1"/>
    <col min="12810" max="12810" width="8.7109375" style="129" customWidth="1"/>
    <col min="12811" max="12811" width="5.35546875" style="129" customWidth="1"/>
    <col min="12812" max="12812" width="4.35546875" style="129" customWidth="1"/>
    <col min="12813" max="12813" width="4.2109375" style="129" customWidth="1"/>
    <col min="12814" max="12814" width="3.140625" style="129" customWidth="1"/>
    <col min="12815" max="12815" width="4.640625" style="129" customWidth="1"/>
    <col min="12816" max="12816" width="4.35546875" style="129" customWidth="1"/>
    <col min="12817" max="12817" width="4" style="129" customWidth="1"/>
    <col min="12818" max="12818" width="3" style="129" customWidth="1"/>
    <col min="12819" max="12819" width="3.85546875" style="129" customWidth="1"/>
    <col min="12820" max="12820" width="4.35546875" style="129" customWidth="1"/>
    <col min="12821" max="12821" width="3.35546875" style="129" customWidth="1"/>
    <col min="12822" max="12822" width="4.85546875" style="129" customWidth="1"/>
    <col min="12823" max="12823" width="10.640625" style="129" customWidth="1"/>
    <col min="12824" max="12824" width="7.140625" style="129" customWidth="1"/>
    <col min="12825" max="12825" width="8.140625" style="129" customWidth="1"/>
    <col min="12826" max="12826" width="7.640625" style="129" customWidth="1"/>
    <col min="12827" max="12828" width="7.7109375" style="129" customWidth="1"/>
    <col min="12829" max="12829" width="7.140625" style="129" customWidth="1"/>
    <col min="12830" max="13055" width="9.140625" style="129"/>
    <col min="13056" max="13056" width="4.35546875" style="129" customWidth="1"/>
    <col min="13057" max="13057" width="20.640625" style="129" customWidth="1"/>
    <col min="13058" max="13058" width="12.35546875" style="129" customWidth="1"/>
    <col min="13059" max="13059" width="12.640625" style="129" customWidth="1"/>
    <col min="13060" max="13060" width="3.85546875" style="129" customWidth="1"/>
    <col min="13061" max="13061" width="4.2109375" style="129" customWidth="1"/>
    <col min="13062" max="13062" width="4.140625" style="129" customWidth="1"/>
    <col min="13063" max="13063" width="4" style="129" customWidth="1"/>
    <col min="13064" max="13064" width="16.35546875" style="129" customWidth="1"/>
    <col min="13065" max="13065" width="5.640625" style="129" customWidth="1"/>
    <col min="13066" max="13066" width="8.7109375" style="129" customWidth="1"/>
    <col min="13067" max="13067" width="5.35546875" style="129" customWidth="1"/>
    <col min="13068" max="13068" width="4.35546875" style="129" customWidth="1"/>
    <col min="13069" max="13069" width="4.2109375" style="129" customWidth="1"/>
    <col min="13070" max="13070" width="3.140625" style="129" customWidth="1"/>
    <col min="13071" max="13071" width="4.640625" style="129" customWidth="1"/>
    <col min="13072" max="13072" width="4.35546875" style="129" customWidth="1"/>
    <col min="13073" max="13073" width="4" style="129" customWidth="1"/>
    <col min="13074" max="13074" width="3" style="129" customWidth="1"/>
    <col min="13075" max="13075" width="3.85546875" style="129" customWidth="1"/>
    <col min="13076" max="13076" width="4.35546875" style="129" customWidth="1"/>
    <col min="13077" max="13077" width="3.35546875" style="129" customWidth="1"/>
    <col min="13078" max="13078" width="4.85546875" style="129" customWidth="1"/>
    <col min="13079" max="13079" width="10.640625" style="129" customWidth="1"/>
    <col min="13080" max="13080" width="7.140625" style="129" customWidth="1"/>
    <col min="13081" max="13081" width="8.140625" style="129" customWidth="1"/>
    <col min="13082" max="13082" width="7.640625" style="129" customWidth="1"/>
    <col min="13083" max="13084" width="7.7109375" style="129" customWidth="1"/>
    <col min="13085" max="13085" width="7.140625" style="129" customWidth="1"/>
    <col min="13086" max="13311" width="9.140625" style="129"/>
    <col min="13312" max="13312" width="4.35546875" style="129" customWidth="1"/>
    <col min="13313" max="13313" width="20.640625" style="129" customWidth="1"/>
    <col min="13314" max="13314" width="12.35546875" style="129" customWidth="1"/>
    <col min="13315" max="13315" width="12.640625" style="129" customWidth="1"/>
    <col min="13316" max="13316" width="3.85546875" style="129" customWidth="1"/>
    <col min="13317" max="13317" width="4.2109375" style="129" customWidth="1"/>
    <col min="13318" max="13318" width="4.140625" style="129" customWidth="1"/>
    <col min="13319" max="13319" width="4" style="129" customWidth="1"/>
    <col min="13320" max="13320" width="16.35546875" style="129" customWidth="1"/>
    <col min="13321" max="13321" width="5.640625" style="129" customWidth="1"/>
    <col min="13322" max="13322" width="8.7109375" style="129" customWidth="1"/>
    <col min="13323" max="13323" width="5.35546875" style="129" customWidth="1"/>
    <col min="13324" max="13324" width="4.35546875" style="129" customWidth="1"/>
    <col min="13325" max="13325" width="4.2109375" style="129" customWidth="1"/>
    <col min="13326" max="13326" width="3.140625" style="129" customWidth="1"/>
    <col min="13327" max="13327" width="4.640625" style="129" customWidth="1"/>
    <col min="13328" max="13328" width="4.35546875" style="129" customWidth="1"/>
    <col min="13329" max="13329" width="4" style="129" customWidth="1"/>
    <col min="13330" max="13330" width="3" style="129" customWidth="1"/>
    <col min="13331" max="13331" width="3.85546875" style="129" customWidth="1"/>
    <col min="13332" max="13332" width="4.35546875" style="129" customWidth="1"/>
    <col min="13333" max="13333" width="3.35546875" style="129" customWidth="1"/>
    <col min="13334" max="13334" width="4.85546875" style="129" customWidth="1"/>
    <col min="13335" max="13335" width="10.640625" style="129" customWidth="1"/>
    <col min="13336" max="13336" width="7.140625" style="129" customWidth="1"/>
    <col min="13337" max="13337" width="8.140625" style="129" customWidth="1"/>
    <col min="13338" max="13338" width="7.640625" style="129" customWidth="1"/>
    <col min="13339" max="13340" width="7.7109375" style="129" customWidth="1"/>
    <col min="13341" max="13341" width="7.140625" style="129" customWidth="1"/>
    <col min="13342" max="13567" width="9.140625" style="129"/>
    <col min="13568" max="13568" width="4.35546875" style="129" customWidth="1"/>
    <col min="13569" max="13569" width="20.640625" style="129" customWidth="1"/>
    <col min="13570" max="13570" width="12.35546875" style="129" customWidth="1"/>
    <col min="13571" max="13571" width="12.640625" style="129" customWidth="1"/>
    <col min="13572" max="13572" width="3.85546875" style="129" customWidth="1"/>
    <col min="13573" max="13573" width="4.2109375" style="129" customWidth="1"/>
    <col min="13574" max="13574" width="4.140625" style="129" customWidth="1"/>
    <col min="13575" max="13575" width="4" style="129" customWidth="1"/>
    <col min="13576" max="13576" width="16.35546875" style="129" customWidth="1"/>
    <col min="13577" max="13577" width="5.640625" style="129" customWidth="1"/>
    <col min="13578" max="13578" width="8.7109375" style="129" customWidth="1"/>
    <col min="13579" max="13579" width="5.35546875" style="129" customWidth="1"/>
    <col min="13580" max="13580" width="4.35546875" style="129" customWidth="1"/>
    <col min="13581" max="13581" width="4.2109375" style="129" customWidth="1"/>
    <col min="13582" max="13582" width="3.140625" style="129" customWidth="1"/>
    <col min="13583" max="13583" width="4.640625" style="129" customWidth="1"/>
    <col min="13584" max="13584" width="4.35546875" style="129" customWidth="1"/>
    <col min="13585" max="13585" width="4" style="129" customWidth="1"/>
    <col min="13586" max="13586" width="3" style="129" customWidth="1"/>
    <col min="13587" max="13587" width="3.85546875" style="129" customWidth="1"/>
    <col min="13588" max="13588" width="4.35546875" style="129" customWidth="1"/>
    <col min="13589" max="13589" width="3.35546875" style="129" customWidth="1"/>
    <col min="13590" max="13590" width="4.85546875" style="129" customWidth="1"/>
    <col min="13591" max="13591" width="10.640625" style="129" customWidth="1"/>
    <col min="13592" max="13592" width="7.140625" style="129" customWidth="1"/>
    <col min="13593" max="13593" width="8.140625" style="129" customWidth="1"/>
    <col min="13594" max="13594" width="7.640625" style="129" customWidth="1"/>
    <col min="13595" max="13596" width="7.7109375" style="129" customWidth="1"/>
    <col min="13597" max="13597" width="7.140625" style="129" customWidth="1"/>
    <col min="13598" max="13823" width="9.140625" style="129"/>
    <col min="13824" max="13824" width="4.35546875" style="129" customWidth="1"/>
    <col min="13825" max="13825" width="20.640625" style="129" customWidth="1"/>
    <col min="13826" max="13826" width="12.35546875" style="129" customWidth="1"/>
    <col min="13827" max="13827" width="12.640625" style="129" customWidth="1"/>
    <col min="13828" max="13828" width="3.85546875" style="129" customWidth="1"/>
    <col min="13829" max="13829" width="4.2109375" style="129" customWidth="1"/>
    <col min="13830" max="13830" width="4.140625" style="129" customWidth="1"/>
    <col min="13831" max="13831" width="4" style="129" customWidth="1"/>
    <col min="13832" max="13832" width="16.35546875" style="129" customWidth="1"/>
    <col min="13833" max="13833" width="5.640625" style="129" customWidth="1"/>
    <col min="13834" max="13834" width="8.7109375" style="129" customWidth="1"/>
    <col min="13835" max="13835" width="5.35546875" style="129" customWidth="1"/>
    <col min="13836" max="13836" width="4.35546875" style="129" customWidth="1"/>
    <col min="13837" max="13837" width="4.2109375" style="129" customWidth="1"/>
    <col min="13838" max="13838" width="3.140625" style="129" customWidth="1"/>
    <col min="13839" max="13839" width="4.640625" style="129" customWidth="1"/>
    <col min="13840" max="13840" width="4.35546875" style="129" customWidth="1"/>
    <col min="13841" max="13841" width="4" style="129" customWidth="1"/>
    <col min="13842" max="13842" width="3" style="129" customWidth="1"/>
    <col min="13843" max="13843" width="3.85546875" style="129" customWidth="1"/>
    <col min="13844" max="13844" width="4.35546875" style="129" customWidth="1"/>
    <col min="13845" max="13845" width="3.35546875" style="129" customWidth="1"/>
    <col min="13846" max="13846" width="4.85546875" style="129" customWidth="1"/>
    <col min="13847" max="13847" width="10.640625" style="129" customWidth="1"/>
    <col min="13848" max="13848" width="7.140625" style="129" customWidth="1"/>
    <col min="13849" max="13849" width="8.140625" style="129" customWidth="1"/>
    <col min="13850" max="13850" width="7.640625" style="129" customWidth="1"/>
    <col min="13851" max="13852" width="7.7109375" style="129" customWidth="1"/>
    <col min="13853" max="13853" width="7.140625" style="129" customWidth="1"/>
    <col min="13854" max="14079" width="9.140625" style="129"/>
    <col min="14080" max="14080" width="4.35546875" style="129" customWidth="1"/>
    <col min="14081" max="14081" width="20.640625" style="129" customWidth="1"/>
    <col min="14082" max="14082" width="12.35546875" style="129" customWidth="1"/>
    <col min="14083" max="14083" width="12.640625" style="129" customWidth="1"/>
    <col min="14084" max="14084" width="3.85546875" style="129" customWidth="1"/>
    <col min="14085" max="14085" width="4.2109375" style="129" customWidth="1"/>
    <col min="14086" max="14086" width="4.140625" style="129" customWidth="1"/>
    <col min="14087" max="14087" width="4" style="129" customWidth="1"/>
    <col min="14088" max="14088" width="16.35546875" style="129" customWidth="1"/>
    <col min="14089" max="14089" width="5.640625" style="129" customWidth="1"/>
    <col min="14090" max="14090" width="8.7109375" style="129" customWidth="1"/>
    <col min="14091" max="14091" width="5.35546875" style="129" customWidth="1"/>
    <col min="14092" max="14092" width="4.35546875" style="129" customWidth="1"/>
    <col min="14093" max="14093" width="4.2109375" style="129" customWidth="1"/>
    <col min="14094" max="14094" width="3.140625" style="129" customWidth="1"/>
    <col min="14095" max="14095" width="4.640625" style="129" customWidth="1"/>
    <col min="14096" max="14096" width="4.35546875" style="129" customWidth="1"/>
    <col min="14097" max="14097" width="4" style="129" customWidth="1"/>
    <col min="14098" max="14098" width="3" style="129" customWidth="1"/>
    <col min="14099" max="14099" width="3.85546875" style="129" customWidth="1"/>
    <col min="14100" max="14100" width="4.35546875" style="129" customWidth="1"/>
    <col min="14101" max="14101" width="3.35546875" style="129" customWidth="1"/>
    <col min="14102" max="14102" width="4.85546875" style="129" customWidth="1"/>
    <col min="14103" max="14103" width="10.640625" style="129" customWidth="1"/>
    <col min="14104" max="14104" width="7.140625" style="129" customWidth="1"/>
    <col min="14105" max="14105" width="8.140625" style="129" customWidth="1"/>
    <col min="14106" max="14106" width="7.640625" style="129" customWidth="1"/>
    <col min="14107" max="14108" width="7.7109375" style="129" customWidth="1"/>
    <col min="14109" max="14109" width="7.140625" style="129" customWidth="1"/>
    <col min="14110" max="14335" width="9.140625" style="129"/>
    <col min="14336" max="14336" width="4.35546875" style="129" customWidth="1"/>
    <col min="14337" max="14337" width="20.640625" style="129" customWidth="1"/>
    <col min="14338" max="14338" width="12.35546875" style="129" customWidth="1"/>
    <col min="14339" max="14339" width="12.640625" style="129" customWidth="1"/>
    <col min="14340" max="14340" width="3.85546875" style="129" customWidth="1"/>
    <col min="14341" max="14341" width="4.2109375" style="129" customWidth="1"/>
    <col min="14342" max="14342" width="4.140625" style="129" customWidth="1"/>
    <col min="14343" max="14343" width="4" style="129" customWidth="1"/>
    <col min="14344" max="14344" width="16.35546875" style="129" customWidth="1"/>
    <col min="14345" max="14345" width="5.640625" style="129" customWidth="1"/>
    <col min="14346" max="14346" width="8.7109375" style="129" customWidth="1"/>
    <col min="14347" max="14347" width="5.35546875" style="129" customWidth="1"/>
    <col min="14348" max="14348" width="4.35546875" style="129" customWidth="1"/>
    <col min="14349" max="14349" width="4.2109375" style="129" customWidth="1"/>
    <col min="14350" max="14350" width="3.140625" style="129" customWidth="1"/>
    <col min="14351" max="14351" width="4.640625" style="129" customWidth="1"/>
    <col min="14352" max="14352" width="4.35546875" style="129" customWidth="1"/>
    <col min="14353" max="14353" width="4" style="129" customWidth="1"/>
    <col min="14354" max="14354" width="3" style="129" customWidth="1"/>
    <col min="14355" max="14355" width="3.85546875" style="129" customWidth="1"/>
    <col min="14356" max="14356" width="4.35546875" style="129" customWidth="1"/>
    <col min="14357" max="14357" width="3.35546875" style="129" customWidth="1"/>
    <col min="14358" max="14358" width="4.85546875" style="129" customWidth="1"/>
    <col min="14359" max="14359" width="10.640625" style="129" customWidth="1"/>
    <col min="14360" max="14360" width="7.140625" style="129" customWidth="1"/>
    <col min="14361" max="14361" width="8.140625" style="129" customWidth="1"/>
    <col min="14362" max="14362" width="7.640625" style="129" customWidth="1"/>
    <col min="14363" max="14364" width="7.7109375" style="129" customWidth="1"/>
    <col min="14365" max="14365" width="7.140625" style="129" customWidth="1"/>
    <col min="14366" max="14591" width="9.140625" style="129"/>
    <col min="14592" max="14592" width="4.35546875" style="129" customWidth="1"/>
    <col min="14593" max="14593" width="20.640625" style="129" customWidth="1"/>
    <col min="14594" max="14594" width="12.35546875" style="129" customWidth="1"/>
    <col min="14595" max="14595" width="12.640625" style="129" customWidth="1"/>
    <col min="14596" max="14596" width="3.85546875" style="129" customWidth="1"/>
    <col min="14597" max="14597" width="4.2109375" style="129" customWidth="1"/>
    <col min="14598" max="14598" width="4.140625" style="129" customWidth="1"/>
    <col min="14599" max="14599" width="4" style="129" customWidth="1"/>
    <col min="14600" max="14600" width="16.35546875" style="129" customWidth="1"/>
    <col min="14601" max="14601" width="5.640625" style="129" customWidth="1"/>
    <col min="14602" max="14602" width="8.7109375" style="129" customWidth="1"/>
    <col min="14603" max="14603" width="5.35546875" style="129" customWidth="1"/>
    <col min="14604" max="14604" width="4.35546875" style="129" customWidth="1"/>
    <col min="14605" max="14605" width="4.2109375" style="129" customWidth="1"/>
    <col min="14606" max="14606" width="3.140625" style="129" customWidth="1"/>
    <col min="14607" max="14607" width="4.640625" style="129" customWidth="1"/>
    <col min="14608" max="14608" width="4.35546875" style="129" customWidth="1"/>
    <col min="14609" max="14609" width="4" style="129" customWidth="1"/>
    <col min="14610" max="14610" width="3" style="129" customWidth="1"/>
    <col min="14611" max="14611" width="3.85546875" style="129" customWidth="1"/>
    <col min="14612" max="14612" width="4.35546875" style="129" customWidth="1"/>
    <col min="14613" max="14613" width="3.35546875" style="129" customWidth="1"/>
    <col min="14614" max="14614" width="4.85546875" style="129" customWidth="1"/>
    <col min="14615" max="14615" width="10.640625" style="129" customWidth="1"/>
    <col min="14616" max="14616" width="7.140625" style="129" customWidth="1"/>
    <col min="14617" max="14617" width="8.140625" style="129" customWidth="1"/>
    <col min="14618" max="14618" width="7.640625" style="129" customWidth="1"/>
    <col min="14619" max="14620" width="7.7109375" style="129" customWidth="1"/>
    <col min="14621" max="14621" width="7.140625" style="129" customWidth="1"/>
    <col min="14622" max="14847" width="9.140625" style="129"/>
    <col min="14848" max="14848" width="4.35546875" style="129" customWidth="1"/>
    <col min="14849" max="14849" width="20.640625" style="129" customWidth="1"/>
    <col min="14850" max="14850" width="12.35546875" style="129" customWidth="1"/>
    <col min="14851" max="14851" width="12.640625" style="129" customWidth="1"/>
    <col min="14852" max="14852" width="3.85546875" style="129" customWidth="1"/>
    <col min="14853" max="14853" width="4.2109375" style="129" customWidth="1"/>
    <col min="14854" max="14854" width="4.140625" style="129" customWidth="1"/>
    <col min="14855" max="14855" width="4" style="129" customWidth="1"/>
    <col min="14856" max="14856" width="16.35546875" style="129" customWidth="1"/>
    <col min="14857" max="14857" width="5.640625" style="129" customWidth="1"/>
    <col min="14858" max="14858" width="8.7109375" style="129" customWidth="1"/>
    <col min="14859" max="14859" width="5.35546875" style="129" customWidth="1"/>
    <col min="14860" max="14860" width="4.35546875" style="129" customWidth="1"/>
    <col min="14861" max="14861" width="4.2109375" style="129" customWidth="1"/>
    <col min="14862" max="14862" width="3.140625" style="129" customWidth="1"/>
    <col min="14863" max="14863" width="4.640625" style="129" customWidth="1"/>
    <col min="14864" max="14864" width="4.35546875" style="129" customWidth="1"/>
    <col min="14865" max="14865" width="4" style="129" customWidth="1"/>
    <col min="14866" max="14866" width="3" style="129" customWidth="1"/>
    <col min="14867" max="14867" width="3.85546875" style="129" customWidth="1"/>
    <col min="14868" max="14868" width="4.35546875" style="129" customWidth="1"/>
    <col min="14869" max="14869" width="3.35546875" style="129" customWidth="1"/>
    <col min="14870" max="14870" width="4.85546875" style="129" customWidth="1"/>
    <col min="14871" max="14871" width="10.640625" style="129" customWidth="1"/>
    <col min="14872" max="14872" width="7.140625" style="129" customWidth="1"/>
    <col min="14873" max="14873" width="8.140625" style="129" customWidth="1"/>
    <col min="14874" max="14874" width="7.640625" style="129" customWidth="1"/>
    <col min="14875" max="14876" width="7.7109375" style="129" customWidth="1"/>
    <col min="14877" max="14877" width="7.140625" style="129" customWidth="1"/>
    <col min="14878" max="15103" width="9.140625" style="129"/>
    <col min="15104" max="15104" width="4.35546875" style="129" customWidth="1"/>
    <col min="15105" max="15105" width="20.640625" style="129" customWidth="1"/>
    <col min="15106" max="15106" width="12.35546875" style="129" customWidth="1"/>
    <col min="15107" max="15107" width="12.640625" style="129" customWidth="1"/>
    <col min="15108" max="15108" width="3.85546875" style="129" customWidth="1"/>
    <col min="15109" max="15109" width="4.2109375" style="129" customWidth="1"/>
    <col min="15110" max="15110" width="4.140625" style="129" customWidth="1"/>
    <col min="15111" max="15111" width="4" style="129" customWidth="1"/>
    <col min="15112" max="15112" width="16.35546875" style="129" customWidth="1"/>
    <col min="15113" max="15113" width="5.640625" style="129" customWidth="1"/>
    <col min="15114" max="15114" width="8.7109375" style="129" customWidth="1"/>
    <col min="15115" max="15115" width="5.35546875" style="129" customWidth="1"/>
    <col min="15116" max="15116" width="4.35546875" style="129" customWidth="1"/>
    <col min="15117" max="15117" width="4.2109375" style="129" customWidth="1"/>
    <col min="15118" max="15118" width="3.140625" style="129" customWidth="1"/>
    <col min="15119" max="15119" width="4.640625" style="129" customWidth="1"/>
    <col min="15120" max="15120" width="4.35546875" style="129" customWidth="1"/>
    <col min="15121" max="15121" width="4" style="129" customWidth="1"/>
    <col min="15122" max="15122" width="3" style="129" customWidth="1"/>
    <col min="15123" max="15123" width="3.85546875" style="129" customWidth="1"/>
    <col min="15124" max="15124" width="4.35546875" style="129" customWidth="1"/>
    <col min="15125" max="15125" width="3.35546875" style="129" customWidth="1"/>
    <col min="15126" max="15126" width="4.85546875" style="129" customWidth="1"/>
    <col min="15127" max="15127" width="10.640625" style="129" customWidth="1"/>
    <col min="15128" max="15128" width="7.140625" style="129" customWidth="1"/>
    <col min="15129" max="15129" width="8.140625" style="129" customWidth="1"/>
    <col min="15130" max="15130" width="7.640625" style="129" customWidth="1"/>
    <col min="15131" max="15132" width="7.7109375" style="129" customWidth="1"/>
    <col min="15133" max="15133" width="7.140625" style="129" customWidth="1"/>
    <col min="15134" max="15359" width="9.140625" style="129"/>
    <col min="15360" max="15360" width="4.35546875" style="129" customWidth="1"/>
    <col min="15361" max="15361" width="20.640625" style="129" customWidth="1"/>
    <col min="15362" max="15362" width="12.35546875" style="129" customWidth="1"/>
    <col min="15363" max="15363" width="12.640625" style="129" customWidth="1"/>
    <col min="15364" max="15364" width="3.85546875" style="129" customWidth="1"/>
    <col min="15365" max="15365" width="4.2109375" style="129" customWidth="1"/>
    <col min="15366" max="15366" width="4.140625" style="129" customWidth="1"/>
    <col min="15367" max="15367" width="4" style="129" customWidth="1"/>
    <col min="15368" max="15368" width="16.35546875" style="129" customWidth="1"/>
    <col min="15369" max="15369" width="5.640625" style="129" customWidth="1"/>
    <col min="15370" max="15370" width="8.7109375" style="129" customWidth="1"/>
    <col min="15371" max="15371" width="5.35546875" style="129" customWidth="1"/>
    <col min="15372" max="15372" width="4.35546875" style="129" customWidth="1"/>
    <col min="15373" max="15373" width="4.2109375" style="129" customWidth="1"/>
    <col min="15374" max="15374" width="3.140625" style="129" customWidth="1"/>
    <col min="15375" max="15375" width="4.640625" style="129" customWidth="1"/>
    <col min="15376" max="15376" width="4.35546875" style="129" customWidth="1"/>
    <col min="15377" max="15377" width="4" style="129" customWidth="1"/>
    <col min="15378" max="15378" width="3" style="129" customWidth="1"/>
    <col min="15379" max="15379" width="3.85546875" style="129" customWidth="1"/>
    <col min="15380" max="15380" width="4.35546875" style="129" customWidth="1"/>
    <col min="15381" max="15381" width="3.35546875" style="129" customWidth="1"/>
    <col min="15382" max="15382" width="4.85546875" style="129" customWidth="1"/>
    <col min="15383" max="15383" width="10.640625" style="129" customWidth="1"/>
    <col min="15384" max="15384" width="7.140625" style="129" customWidth="1"/>
    <col min="15385" max="15385" width="8.140625" style="129" customWidth="1"/>
    <col min="15386" max="15386" width="7.640625" style="129" customWidth="1"/>
    <col min="15387" max="15388" width="7.7109375" style="129" customWidth="1"/>
    <col min="15389" max="15389" width="7.140625" style="129" customWidth="1"/>
    <col min="15390" max="15615" width="9.140625" style="129"/>
    <col min="15616" max="15616" width="4.35546875" style="129" customWidth="1"/>
    <col min="15617" max="15617" width="20.640625" style="129" customWidth="1"/>
    <col min="15618" max="15618" width="12.35546875" style="129" customWidth="1"/>
    <col min="15619" max="15619" width="12.640625" style="129" customWidth="1"/>
    <col min="15620" max="15620" width="3.85546875" style="129" customWidth="1"/>
    <col min="15621" max="15621" width="4.2109375" style="129" customWidth="1"/>
    <col min="15622" max="15622" width="4.140625" style="129" customWidth="1"/>
    <col min="15623" max="15623" width="4" style="129" customWidth="1"/>
    <col min="15624" max="15624" width="16.35546875" style="129" customWidth="1"/>
    <col min="15625" max="15625" width="5.640625" style="129" customWidth="1"/>
    <col min="15626" max="15626" width="8.7109375" style="129" customWidth="1"/>
    <col min="15627" max="15627" width="5.35546875" style="129" customWidth="1"/>
    <col min="15628" max="15628" width="4.35546875" style="129" customWidth="1"/>
    <col min="15629" max="15629" width="4.2109375" style="129" customWidth="1"/>
    <col min="15630" max="15630" width="3.140625" style="129" customWidth="1"/>
    <col min="15631" max="15631" width="4.640625" style="129" customWidth="1"/>
    <col min="15632" max="15632" width="4.35546875" style="129" customWidth="1"/>
    <col min="15633" max="15633" width="4" style="129" customWidth="1"/>
    <col min="15634" max="15634" width="3" style="129" customWidth="1"/>
    <col min="15635" max="15635" width="3.85546875" style="129" customWidth="1"/>
    <col min="15636" max="15636" width="4.35546875" style="129" customWidth="1"/>
    <col min="15637" max="15637" width="3.35546875" style="129" customWidth="1"/>
    <col min="15638" max="15638" width="4.85546875" style="129" customWidth="1"/>
    <col min="15639" max="15639" width="10.640625" style="129" customWidth="1"/>
    <col min="15640" max="15640" width="7.140625" style="129" customWidth="1"/>
    <col min="15641" max="15641" width="8.140625" style="129" customWidth="1"/>
    <col min="15642" max="15642" width="7.640625" style="129" customWidth="1"/>
    <col min="15643" max="15644" width="7.7109375" style="129" customWidth="1"/>
    <col min="15645" max="15645" width="7.140625" style="129" customWidth="1"/>
    <col min="15646" max="15871" width="9.140625" style="129"/>
    <col min="15872" max="15872" width="4.35546875" style="129" customWidth="1"/>
    <col min="15873" max="15873" width="20.640625" style="129" customWidth="1"/>
    <col min="15874" max="15874" width="12.35546875" style="129" customWidth="1"/>
    <col min="15875" max="15875" width="12.640625" style="129" customWidth="1"/>
    <col min="15876" max="15876" width="3.85546875" style="129" customWidth="1"/>
    <col min="15877" max="15877" width="4.2109375" style="129" customWidth="1"/>
    <col min="15878" max="15878" width="4.140625" style="129" customWidth="1"/>
    <col min="15879" max="15879" width="4" style="129" customWidth="1"/>
    <col min="15880" max="15880" width="16.35546875" style="129" customWidth="1"/>
    <col min="15881" max="15881" width="5.640625" style="129" customWidth="1"/>
    <col min="15882" max="15882" width="8.7109375" style="129" customWidth="1"/>
    <col min="15883" max="15883" width="5.35546875" style="129" customWidth="1"/>
    <col min="15884" max="15884" width="4.35546875" style="129" customWidth="1"/>
    <col min="15885" max="15885" width="4.2109375" style="129" customWidth="1"/>
    <col min="15886" max="15886" width="3.140625" style="129" customWidth="1"/>
    <col min="15887" max="15887" width="4.640625" style="129" customWidth="1"/>
    <col min="15888" max="15888" width="4.35546875" style="129" customWidth="1"/>
    <col min="15889" max="15889" width="4" style="129" customWidth="1"/>
    <col min="15890" max="15890" width="3" style="129" customWidth="1"/>
    <col min="15891" max="15891" width="3.85546875" style="129" customWidth="1"/>
    <col min="15892" max="15892" width="4.35546875" style="129" customWidth="1"/>
    <col min="15893" max="15893" width="3.35546875" style="129" customWidth="1"/>
    <col min="15894" max="15894" width="4.85546875" style="129" customWidth="1"/>
    <col min="15895" max="15895" width="10.640625" style="129" customWidth="1"/>
    <col min="15896" max="15896" width="7.140625" style="129" customWidth="1"/>
    <col min="15897" max="15897" width="8.140625" style="129" customWidth="1"/>
    <col min="15898" max="15898" width="7.640625" style="129" customWidth="1"/>
    <col min="15899" max="15900" width="7.7109375" style="129" customWidth="1"/>
    <col min="15901" max="15901" width="7.140625" style="129" customWidth="1"/>
    <col min="15902" max="16127" width="9.140625" style="129"/>
    <col min="16128" max="16128" width="4.35546875" style="129" customWidth="1"/>
    <col min="16129" max="16129" width="20.640625" style="129" customWidth="1"/>
    <col min="16130" max="16130" width="12.35546875" style="129" customWidth="1"/>
    <col min="16131" max="16131" width="12.640625" style="129" customWidth="1"/>
    <col min="16132" max="16132" width="3.85546875" style="129" customWidth="1"/>
    <col min="16133" max="16133" width="4.2109375" style="129" customWidth="1"/>
    <col min="16134" max="16134" width="4.140625" style="129" customWidth="1"/>
    <col min="16135" max="16135" width="4" style="129" customWidth="1"/>
    <col min="16136" max="16136" width="16.35546875" style="129" customWidth="1"/>
    <col min="16137" max="16137" width="5.640625" style="129" customWidth="1"/>
    <col min="16138" max="16138" width="8.7109375" style="129" customWidth="1"/>
    <col min="16139" max="16139" width="5.35546875" style="129" customWidth="1"/>
    <col min="16140" max="16140" width="4.35546875" style="129" customWidth="1"/>
    <col min="16141" max="16141" width="4.2109375" style="129" customWidth="1"/>
    <col min="16142" max="16142" width="3.140625" style="129" customWidth="1"/>
    <col min="16143" max="16143" width="4.640625" style="129" customWidth="1"/>
    <col min="16144" max="16144" width="4.35546875" style="129" customWidth="1"/>
    <col min="16145" max="16145" width="4" style="129" customWidth="1"/>
    <col min="16146" max="16146" width="3" style="129" customWidth="1"/>
    <col min="16147" max="16147" width="3.85546875" style="129" customWidth="1"/>
    <col min="16148" max="16148" width="4.35546875" style="129" customWidth="1"/>
    <col min="16149" max="16149" width="3.35546875" style="129" customWidth="1"/>
    <col min="16150" max="16150" width="4.85546875" style="129" customWidth="1"/>
    <col min="16151" max="16151" width="10.640625" style="129" customWidth="1"/>
    <col min="16152" max="16152" width="7.140625" style="129" customWidth="1"/>
    <col min="16153" max="16153" width="8.140625" style="129" customWidth="1"/>
    <col min="16154" max="16154" width="7.640625" style="129" customWidth="1"/>
    <col min="16155" max="16156" width="7.7109375" style="129" customWidth="1"/>
    <col min="16157" max="16157" width="7.140625" style="129" customWidth="1"/>
    <col min="16158" max="16384" width="9.140625" style="129"/>
  </cols>
  <sheetData>
    <row r="1" spans="1:31">
      <c r="D1" s="3108" t="s">
        <v>186</v>
      </c>
      <c r="E1" s="3108"/>
      <c r="F1" s="3108"/>
      <c r="G1" s="3108"/>
      <c r="H1" s="3108"/>
      <c r="I1" s="3108"/>
      <c r="J1" s="3108"/>
      <c r="K1" s="3108"/>
      <c r="L1" s="3108"/>
      <c r="M1" s="3108"/>
      <c r="N1" s="3108"/>
      <c r="O1" s="3108"/>
      <c r="P1" s="3108"/>
      <c r="Q1" s="3108"/>
      <c r="R1" s="3108"/>
      <c r="S1" s="3108"/>
      <c r="T1" s="3108"/>
      <c r="U1" s="3108"/>
      <c r="V1" s="3108"/>
      <c r="W1" s="3108"/>
      <c r="X1" s="3108"/>
      <c r="Y1" s="3108"/>
      <c r="Z1" s="3108"/>
      <c r="AA1" s="3108"/>
      <c r="AB1" s="3108"/>
    </row>
    <row r="2" spans="1:31" ht="20.25" customHeight="1">
      <c r="D2" s="131" t="s">
        <v>0</v>
      </c>
      <c r="E2" s="132" t="s">
        <v>1</v>
      </c>
      <c r="G2" s="133" t="s">
        <v>238</v>
      </c>
      <c r="J2" s="125"/>
    </row>
    <row r="3" spans="1:31" ht="19.5" customHeight="1">
      <c r="D3" s="135" t="s">
        <v>2</v>
      </c>
      <c r="E3" s="136"/>
      <c r="F3" s="136"/>
      <c r="G3" s="136"/>
      <c r="H3" s="136"/>
      <c r="I3" s="136"/>
      <c r="J3" s="136"/>
      <c r="K3" s="136"/>
      <c r="L3" s="136"/>
      <c r="M3" s="136"/>
      <c r="N3" s="136"/>
    </row>
    <row r="4" spans="1:31" ht="19.5" customHeight="1">
      <c r="D4" s="135" t="s">
        <v>187</v>
      </c>
      <c r="E4" s="136"/>
      <c r="F4" s="136"/>
      <c r="G4" s="136"/>
      <c r="H4" s="136"/>
      <c r="I4" s="136"/>
      <c r="J4" s="136"/>
      <c r="K4" s="136"/>
    </row>
    <row r="5" spans="1:31" ht="19.5" customHeight="1">
      <c r="D5" s="131" t="s">
        <v>188</v>
      </c>
      <c r="E5" s="136"/>
      <c r="F5" s="136"/>
      <c r="G5" s="136"/>
      <c r="H5" s="136"/>
      <c r="I5" s="136"/>
      <c r="J5" s="136"/>
      <c r="K5" s="136" t="s">
        <v>3</v>
      </c>
      <c r="M5" s="178" t="s">
        <v>37</v>
      </c>
      <c r="N5" s="179" t="s">
        <v>11</v>
      </c>
      <c r="O5" s="180" t="s">
        <v>22</v>
      </c>
      <c r="P5" s="180" t="s">
        <v>23</v>
      </c>
      <c r="Q5" s="180" t="s">
        <v>24</v>
      </c>
      <c r="R5" s="180" t="s">
        <v>25</v>
      </c>
      <c r="S5" s="180" t="s">
        <v>26</v>
      </c>
      <c r="T5" s="180" t="s">
        <v>27</v>
      </c>
      <c r="U5" s="180" t="s">
        <v>28</v>
      </c>
      <c r="V5" s="180" t="s">
        <v>29</v>
      </c>
      <c r="W5" s="180" t="s">
        <v>30</v>
      </c>
      <c r="X5" s="180" t="s">
        <v>31</v>
      </c>
      <c r="Y5" s="180" t="s">
        <v>32</v>
      </c>
      <c r="Z5" s="180" t="s">
        <v>33</v>
      </c>
      <c r="AA5" s="2053" t="s">
        <v>2287</v>
      </c>
      <c r="AB5" s="2053" t="s">
        <v>2288</v>
      </c>
      <c r="AC5" s="2053" t="s">
        <v>2289</v>
      </c>
      <c r="AD5" s="2053" t="s">
        <v>2290</v>
      </c>
      <c r="AE5" s="2053" t="s">
        <v>2291</v>
      </c>
    </row>
    <row r="6" spans="1:31" ht="19.5" customHeight="1">
      <c r="D6" s="135" t="s">
        <v>4</v>
      </c>
      <c r="E6" s="136"/>
      <c r="F6" s="136"/>
      <c r="G6" s="136" t="s">
        <v>5</v>
      </c>
      <c r="H6" s="136"/>
      <c r="I6" s="136"/>
      <c r="J6" s="136"/>
      <c r="K6" s="136"/>
      <c r="M6" s="181">
        <v>10</v>
      </c>
      <c r="N6" s="181">
        <f>SUM(N11:N79)</f>
        <v>214110</v>
      </c>
      <c r="O6" s="181">
        <f>O11+O19+O24+O29+O34+O37+O44+O57+O61+O69</f>
        <v>735</v>
      </c>
      <c r="P6" s="181">
        <f t="shared" ref="P6:Z6" si="0">P11+P19+P24+P29+P34+P37+P44+P57+P61+P69</f>
        <v>1470</v>
      </c>
      <c r="Q6" s="181">
        <f t="shared" si="0"/>
        <v>93810</v>
      </c>
      <c r="R6" s="181">
        <f t="shared" si="0"/>
        <v>24870</v>
      </c>
      <c r="S6" s="181">
        <f t="shared" si="0"/>
        <v>1470</v>
      </c>
      <c r="T6" s="181">
        <f t="shared" si="0"/>
        <v>7645</v>
      </c>
      <c r="U6" s="181">
        <f t="shared" si="0"/>
        <v>1470</v>
      </c>
      <c r="V6" s="181">
        <f t="shared" si="0"/>
        <v>43470</v>
      </c>
      <c r="W6" s="181">
        <f t="shared" si="0"/>
        <v>4350</v>
      </c>
      <c r="X6" s="181">
        <f t="shared" si="0"/>
        <v>20480</v>
      </c>
      <c r="Y6" s="181">
        <f t="shared" si="0"/>
        <v>12870</v>
      </c>
      <c r="Z6" s="181">
        <f t="shared" si="0"/>
        <v>1470</v>
      </c>
      <c r="AA6" s="2058">
        <f>N11+N19+N24+N29+N34+N37+N44+N57+N61</f>
        <v>133110</v>
      </c>
      <c r="AB6" s="2058"/>
      <c r="AC6" s="2059"/>
      <c r="AD6" s="2060"/>
      <c r="AE6" s="2058">
        <f>N69</f>
        <v>81000</v>
      </c>
    </row>
    <row r="7" spans="1:31" ht="19.5" customHeight="1">
      <c r="E7" s="136"/>
      <c r="F7" s="136"/>
      <c r="G7" s="136" t="s">
        <v>3</v>
      </c>
      <c r="H7" s="136"/>
      <c r="I7" s="136"/>
      <c r="J7" s="136"/>
      <c r="K7" s="136"/>
      <c r="M7" s="182"/>
      <c r="N7" s="182"/>
      <c r="O7" s="183"/>
      <c r="P7" s="183"/>
      <c r="Q7" s="183">
        <f>O6+P6+Q6</f>
        <v>96015</v>
      </c>
      <c r="R7" s="183"/>
      <c r="S7" s="183"/>
      <c r="T7" s="183">
        <f>R6+S6+T6</f>
        <v>33985</v>
      </c>
      <c r="U7" s="183"/>
      <c r="V7" s="183"/>
      <c r="W7" s="183">
        <f>U6+V6+W6</f>
        <v>49290</v>
      </c>
      <c r="X7" s="183"/>
      <c r="Y7" s="183"/>
      <c r="Z7" s="183">
        <f>X6+Y6+Z6</f>
        <v>34820</v>
      </c>
    </row>
    <row r="8" spans="1:31" ht="25.5" customHeight="1">
      <c r="A8" s="137" t="s">
        <v>34</v>
      </c>
      <c r="B8" s="138"/>
      <c r="C8" s="139"/>
      <c r="D8" s="3130" t="s">
        <v>6</v>
      </c>
      <c r="E8" s="3112" t="s">
        <v>7</v>
      </c>
      <c r="F8" s="3112" t="s">
        <v>8</v>
      </c>
      <c r="G8" s="3112" t="s">
        <v>9</v>
      </c>
      <c r="H8" s="3115" t="s">
        <v>10</v>
      </c>
      <c r="I8" s="3116"/>
      <c r="J8" s="3116"/>
      <c r="K8" s="3117"/>
      <c r="L8" s="3121" t="s">
        <v>11</v>
      </c>
      <c r="M8" s="3122"/>
      <c r="N8" s="3125" t="s">
        <v>12</v>
      </c>
      <c r="O8" s="3133" t="s">
        <v>13</v>
      </c>
      <c r="P8" s="3133"/>
      <c r="Q8" s="3133"/>
      <c r="R8" s="3133"/>
      <c r="S8" s="3133"/>
      <c r="T8" s="3133"/>
      <c r="U8" s="3133"/>
      <c r="V8" s="3133"/>
      <c r="W8" s="3133"/>
      <c r="X8" s="3133"/>
      <c r="Y8" s="3133"/>
      <c r="Z8" s="3133"/>
      <c r="AA8" s="3112" t="s">
        <v>14</v>
      </c>
      <c r="AB8" s="3129" t="s">
        <v>15</v>
      </c>
    </row>
    <row r="9" spans="1:31">
      <c r="A9" s="140"/>
      <c r="B9" s="141"/>
      <c r="C9" s="142"/>
      <c r="D9" s="3131"/>
      <c r="E9" s="3113"/>
      <c r="F9" s="3113"/>
      <c r="G9" s="3113"/>
      <c r="H9" s="3118"/>
      <c r="I9" s="3119"/>
      <c r="J9" s="3119"/>
      <c r="K9" s="3120"/>
      <c r="L9" s="3123"/>
      <c r="M9" s="3124"/>
      <c r="N9" s="3126"/>
      <c r="O9" s="3133" t="s">
        <v>16</v>
      </c>
      <c r="P9" s="3133"/>
      <c r="Q9" s="3133"/>
      <c r="R9" s="3133" t="s">
        <v>17</v>
      </c>
      <c r="S9" s="3133"/>
      <c r="T9" s="3133"/>
      <c r="U9" s="3133" t="s">
        <v>18</v>
      </c>
      <c r="V9" s="3133"/>
      <c r="W9" s="3133"/>
      <c r="X9" s="3133" t="s">
        <v>19</v>
      </c>
      <c r="Y9" s="3133"/>
      <c r="Z9" s="3133"/>
      <c r="AA9" s="3113"/>
      <c r="AB9" s="3129"/>
    </row>
    <row r="10" spans="1:31">
      <c r="A10" s="128" t="s">
        <v>36</v>
      </c>
      <c r="B10" s="128" t="s">
        <v>35</v>
      </c>
      <c r="C10" s="128" t="s">
        <v>37</v>
      </c>
      <c r="D10" s="3132"/>
      <c r="E10" s="3114"/>
      <c r="F10" s="3114"/>
      <c r="G10" s="3114"/>
      <c r="H10" s="90">
        <v>1</v>
      </c>
      <c r="I10" s="90">
        <v>2</v>
      </c>
      <c r="J10" s="90">
        <v>3</v>
      </c>
      <c r="K10" s="90">
        <v>4</v>
      </c>
      <c r="L10" s="122" t="s">
        <v>20</v>
      </c>
      <c r="M10" s="91" t="s">
        <v>21</v>
      </c>
      <c r="N10" s="3127"/>
      <c r="O10" s="107" t="s">
        <v>22</v>
      </c>
      <c r="P10" s="107" t="s">
        <v>23</v>
      </c>
      <c r="Q10" s="107" t="s">
        <v>24</v>
      </c>
      <c r="R10" s="107" t="s">
        <v>25</v>
      </c>
      <c r="S10" s="107" t="s">
        <v>26</v>
      </c>
      <c r="T10" s="107" t="s">
        <v>27</v>
      </c>
      <c r="U10" s="107" t="s">
        <v>28</v>
      </c>
      <c r="V10" s="107" t="s">
        <v>29</v>
      </c>
      <c r="W10" s="107" t="s">
        <v>30</v>
      </c>
      <c r="X10" s="107" t="s">
        <v>31</v>
      </c>
      <c r="Y10" s="107" t="s">
        <v>32</v>
      </c>
      <c r="Z10" s="107" t="s">
        <v>33</v>
      </c>
      <c r="AA10" s="3114"/>
      <c r="AB10" s="3129"/>
    </row>
    <row r="11" spans="1:31" ht="30" customHeight="1">
      <c r="A11" s="156">
        <v>3</v>
      </c>
      <c r="B11" s="156">
        <v>10</v>
      </c>
      <c r="C11" s="156">
        <v>32</v>
      </c>
      <c r="D11" s="157">
        <v>1</v>
      </c>
      <c r="E11" s="158" t="s">
        <v>281</v>
      </c>
      <c r="F11" s="159"/>
      <c r="G11" s="159"/>
      <c r="H11" s="160"/>
      <c r="I11" s="160"/>
      <c r="J11" s="160"/>
      <c r="K11" s="160"/>
      <c r="L11" s="161"/>
      <c r="M11" s="162"/>
      <c r="N11" s="163">
        <f>M13+M14+M15+M16+M17+M18</f>
        <v>21775</v>
      </c>
      <c r="O11" s="164">
        <f>SUM(O12:O18)</f>
        <v>0</v>
      </c>
      <c r="P11" s="164">
        <f t="shared" ref="P11:Z11" si="1">SUM(P12:P18)</f>
        <v>0</v>
      </c>
      <c r="Q11" s="164">
        <f t="shared" si="1"/>
        <v>7800</v>
      </c>
      <c r="R11" s="164">
        <f t="shared" si="1"/>
        <v>0</v>
      </c>
      <c r="S11" s="164">
        <f t="shared" si="1"/>
        <v>0</v>
      </c>
      <c r="T11" s="164">
        <f t="shared" si="1"/>
        <v>6175</v>
      </c>
      <c r="U11" s="164">
        <f t="shared" si="1"/>
        <v>0</v>
      </c>
      <c r="V11" s="164">
        <f t="shared" si="1"/>
        <v>0</v>
      </c>
      <c r="W11" s="164">
        <f t="shared" si="1"/>
        <v>0</v>
      </c>
      <c r="X11" s="164">
        <f t="shared" si="1"/>
        <v>0</v>
      </c>
      <c r="Y11" s="164">
        <f t="shared" si="1"/>
        <v>7800</v>
      </c>
      <c r="Z11" s="164">
        <f t="shared" si="1"/>
        <v>0</v>
      </c>
      <c r="AA11" s="159" t="s">
        <v>2991</v>
      </c>
      <c r="AB11" s="165" t="s">
        <v>280</v>
      </c>
      <c r="AC11" s="143">
        <v>3</v>
      </c>
      <c r="AD11" s="143">
        <v>10</v>
      </c>
      <c r="AE11" s="143">
        <v>32</v>
      </c>
    </row>
    <row r="12" spans="1:31" ht="93.75" customHeight="1">
      <c r="A12" s="128"/>
      <c r="B12" s="128"/>
      <c r="C12" s="128"/>
      <c r="D12" s="124"/>
      <c r="E12" s="109" t="s">
        <v>283</v>
      </c>
      <c r="F12" s="109" t="s">
        <v>429</v>
      </c>
      <c r="G12" s="109" t="s">
        <v>284</v>
      </c>
      <c r="H12" s="122" t="s">
        <v>239</v>
      </c>
      <c r="I12" s="122"/>
      <c r="J12" s="122"/>
      <c r="K12" s="122"/>
      <c r="L12" s="122" t="s">
        <v>285</v>
      </c>
      <c r="M12" s="91" t="s">
        <v>286</v>
      </c>
      <c r="N12" s="121"/>
      <c r="O12" s="107"/>
      <c r="P12" s="107"/>
      <c r="Q12" s="107"/>
      <c r="R12" s="107"/>
      <c r="S12" s="107"/>
      <c r="T12" s="107"/>
      <c r="U12" s="107"/>
      <c r="V12" s="107"/>
      <c r="W12" s="107"/>
      <c r="X12" s="107"/>
      <c r="Y12" s="107"/>
      <c r="Z12" s="107"/>
      <c r="AA12" s="120" t="s">
        <v>282</v>
      </c>
      <c r="AB12" s="108"/>
      <c r="AC12" s="143"/>
      <c r="AD12" s="143"/>
      <c r="AE12" s="143"/>
    </row>
    <row r="13" spans="1:31" ht="95.25" customHeight="1">
      <c r="A13" s="128"/>
      <c r="B13" s="128"/>
      <c r="C13" s="128"/>
      <c r="D13" s="124"/>
      <c r="E13" s="109" t="s">
        <v>287</v>
      </c>
      <c r="F13" s="109" t="s">
        <v>288</v>
      </c>
      <c r="G13" s="109" t="s">
        <v>289</v>
      </c>
      <c r="H13" s="122" t="s">
        <v>239</v>
      </c>
      <c r="I13" s="122"/>
      <c r="J13" s="122"/>
      <c r="K13" s="122"/>
      <c r="L13" s="110" t="s">
        <v>290</v>
      </c>
      <c r="M13" s="91">
        <f>65*70</f>
        <v>4550</v>
      </c>
      <c r="N13" s="121"/>
      <c r="O13" s="107"/>
      <c r="P13" s="107"/>
      <c r="Q13" s="107">
        <v>4550</v>
      </c>
      <c r="R13" s="107"/>
      <c r="S13" s="107"/>
      <c r="T13" s="107"/>
      <c r="U13" s="107"/>
      <c r="V13" s="107"/>
      <c r="W13" s="107"/>
      <c r="X13" s="107"/>
      <c r="Y13" s="107"/>
      <c r="Z13" s="107"/>
      <c r="AA13" s="120"/>
      <c r="AB13" s="108"/>
      <c r="AC13" s="143"/>
      <c r="AD13" s="143"/>
      <c r="AE13" s="143"/>
    </row>
    <row r="14" spans="1:31" ht="44.25" customHeight="1">
      <c r="A14" s="128"/>
      <c r="B14" s="128"/>
      <c r="C14" s="128"/>
      <c r="D14" s="124"/>
      <c r="E14" s="109"/>
      <c r="F14" s="109"/>
      <c r="G14" s="109"/>
      <c r="H14" s="122" t="s">
        <v>239</v>
      </c>
      <c r="I14" s="122"/>
      <c r="J14" s="122"/>
      <c r="K14" s="122"/>
      <c r="L14" s="110" t="s">
        <v>291</v>
      </c>
      <c r="M14" s="91">
        <f>65*25*2</f>
        <v>3250</v>
      </c>
      <c r="N14" s="121"/>
      <c r="O14" s="107"/>
      <c r="P14" s="107"/>
      <c r="Q14" s="107">
        <v>3250</v>
      </c>
      <c r="R14" s="107"/>
      <c r="S14" s="107"/>
      <c r="T14" s="107"/>
      <c r="U14" s="107"/>
      <c r="V14" s="107"/>
      <c r="W14" s="107"/>
      <c r="X14" s="107"/>
      <c r="Y14" s="107"/>
      <c r="Z14" s="107"/>
      <c r="AA14" s="120"/>
      <c r="AB14" s="108"/>
      <c r="AC14" s="143"/>
      <c r="AD14" s="143"/>
      <c r="AE14" s="143"/>
    </row>
    <row r="15" spans="1:31" ht="57" customHeight="1">
      <c r="A15" s="128"/>
      <c r="B15" s="128"/>
      <c r="C15" s="128"/>
      <c r="D15" s="124"/>
      <c r="E15" s="109" t="s">
        <v>430</v>
      </c>
      <c r="F15" s="111"/>
      <c r="G15" s="111" t="s">
        <v>292</v>
      </c>
      <c r="H15" s="90"/>
      <c r="I15" s="90" t="s">
        <v>239</v>
      </c>
      <c r="J15" s="90"/>
      <c r="K15" s="90"/>
      <c r="L15" s="110" t="s">
        <v>290</v>
      </c>
      <c r="M15" s="91">
        <f>65*70</f>
        <v>4550</v>
      </c>
      <c r="N15" s="121"/>
      <c r="O15" s="107"/>
      <c r="P15" s="107"/>
      <c r="Q15" s="107"/>
      <c r="R15" s="107"/>
      <c r="S15" s="107"/>
      <c r="T15" s="107">
        <v>4550</v>
      </c>
      <c r="U15" s="107"/>
      <c r="V15" s="107"/>
      <c r="W15" s="107"/>
      <c r="X15" s="107"/>
      <c r="Y15" s="107"/>
      <c r="Z15" s="107"/>
      <c r="AA15" s="120"/>
      <c r="AB15" s="108"/>
      <c r="AC15" s="143"/>
      <c r="AD15" s="143"/>
      <c r="AE15" s="143"/>
    </row>
    <row r="16" spans="1:31" ht="43.5" customHeight="1">
      <c r="A16" s="128"/>
      <c r="B16" s="128"/>
      <c r="C16" s="128"/>
      <c r="D16" s="124"/>
      <c r="E16" s="111"/>
      <c r="F16" s="111"/>
      <c r="G16" s="111"/>
      <c r="H16" s="90"/>
      <c r="I16" s="90" t="s">
        <v>239</v>
      </c>
      <c r="J16" s="90"/>
      <c r="K16" s="90"/>
      <c r="L16" s="110" t="s">
        <v>395</v>
      </c>
      <c r="M16" s="91">
        <f>65*25</f>
        <v>1625</v>
      </c>
      <c r="N16" s="121"/>
      <c r="O16" s="107"/>
      <c r="P16" s="107"/>
      <c r="Q16" s="107"/>
      <c r="R16" s="107"/>
      <c r="S16" s="107"/>
      <c r="T16" s="107">
        <v>1625</v>
      </c>
      <c r="U16" s="107"/>
      <c r="V16" s="107"/>
      <c r="W16" s="107"/>
      <c r="X16" s="107"/>
      <c r="Y16" s="107"/>
      <c r="Z16" s="107"/>
      <c r="AA16" s="120"/>
      <c r="AB16" s="108"/>
      <c r="AC16" s="143"/>
      <c r="AD16" s="143"/>
      <c r="AE16" s="143"/>
    </row>
    <row r="17" spans="1:31" ht="66" customHeight="1">
      <c r="A17" s="128"/>
      <c r="B17" s="128"/>
      <c r="C17" s="128"/>
      <c r="D17" s="124"/>
      <c r="E17" s="109" t="s">
        <v>394</v>
      </c>
      <c r="F17" s="111"/>
      <c r="G17" s="111" t="s">
        <v>289</v>
      </c>
      <c r="H17" s="90"/>
      <c r="I17" s="90"/>
      <c r="J17" s="90"/>
      <c r="K17" s="90" t="s">
        <v>239</v>
      </c>
      <c r="L17" s="110" t="s">
        <v>290</v>
      </c>
      <c r="M17" s="91">
        <f>65*70</f>
        <v>4550</v>
      </c>
      <c r="N17" s="121"/>
      <c r="O17" s="107"/>
      <c r="P17" s="107"/>
      <c r="Q17" s="107"/>
      <c r="R17" s="107"/>
      <c r="S17" s="107"/>
      <c r="T17" s="107"/>
      <c r="U17" s="107"/>
      <c r="V17" s="107"/>
      <c r="W17" s="107"/>
      <c r="X17" s="107"/>
      <c r="Y17" s="107">
        <v>4550</v>
      </c>
      <c r="Z17" s="107"/>
      <c r="AA17" s="120"/>
      <c r="AB17" s="108"/>
      <c r="AC17" s="143"/>
      <c r="AD17" s="143"/>
      <c r="AE17" s="143"/>
    </row>
    <row r="18" spans="1:31" ht="53.25" customHeight="1">
      <c r="A18" s="128"/>
      <c r="B18" s="128"/>
      <c r="C18" s="128"/>
      <c r="D18" s="124"/>
      <c r="E18" s="120"/>
      <c r="F18" s="120"/>
      <c r="G18" s="120"/>
      <c r="H18" s="90"/>
      <c r="I18" s="90"/>
      <c r="J18" s="90"/>
      <c r="K18" s="90" t="s">
        <v>239</v>
      </c>
      <c r="L18" s="110" t="s">
        <v>293</v>
      </c>
      <c r="M18" s="91">
        <f>65*25*2</f>
        <v>3250</v>
      </c>
      <c r="N18" s="121"/>
      <c r="O18" s="107"/>
      <c r="P18" s="107"/>
      <c r="Q18" s="107"/>
      <c r="R18" s="107"/>
      <c r="S18" s="107"/>
      <c r="T18" s="107"/>
      <c r="U18" s="107"/>
      <c r="V18" s="107"/>
      <c r="W18" s="107"/>
      <c r="X18" s="107"/>
      <c r="Y18" s="107">
        <v>3250</v>
      </c>
      <c r="Z18" s="107"/>
      <c r="AA18" s="120"/>
      <c r="AB18" s="108"/>
      <c r="AC18" s="143"/>
      <c r="AD18" s="143"/>
      <c r="AE18" s="143"/>
    </row>
    <row r="19" spans="1:31" ht="41.25" customHeight="1">
      <c r="A19" s="156">
        <v>1</v>
      </c>
      <c r="B19" s="156">
        <v>1</v>
      </c>
      <c r="C19" s="156">
        <v>1</v>
      </c>
      <c r="D19" s="157">
        <v>2</v>
      </c>
      <c r="E19" s="166" t="s">
        <v>294</v>
      </c>
      <c r="F19" s="159"/>
      <c r="G19" s="159"/>
      <c r="H19" s="160"/>
      <c r="I19" s="160"/>
      <c r="J19" s="160"/>
      <c r="K19" s="160"/>
      <c r="L19" s="161"/>
      <c r="M19" s="162"/>
      <c r="N19" s="163">
        <f>M21+M22+M23</f>
        <v>17760</v>
      </c>
      <c r="O19" s="164">
        <f>SUM(O20:O23)</f>
        <v>0</v>
      </c>
      <c r="P19" s="164">
        <f t="shared" ref="P19:Z19" si="2">SUM(P20:P23)</f>
        <v>0</v>
      </c>
      <c r="Q19" s="164">
        <f t="shared" si="2"/>
        <v>0</v>
      </c>
      <c r="R19" s="164">
        <f t="shared" si="2"/>
        <v>12000</v>
      </c>
      <c r="S19" s="164">
        <f t="shared" si="2"/>
        <v>0</v>
      </c>
      <c r="T19" s="164">
        <f t="shared" si="2"/>
        <v>0</v>
      </c>
      <c r="U19" s="164">
        <f t="shared" si="2"/>
        <v>0</v>
      </c>
      <c r="V19" s="164">
        <f t="shared" si="2"/>
        <v>0</v>
      </c>
      <c r="W19" s="164">
        <f t="shared" si="2"/>
        <v>0</v>
      </c>
      <c r="X19" s="164">
        <f t="shared" si="2"/>
        <v>5760</v>
      </c>
      <c r="Y19" s="164">
        <f t="shared" si="2"/>
        <v>0</v>
      </c>
      <c r="Z19" s="164">
        <f t="shared" si="2"/>
        <v>0</v>
      </c>
      <c r="AA19" s="159" t="s">
        <v>2991</v>
      </c>
      <c r="AB19" s="165" t="s">
        <v>280</v>
      </c>
      <c r="AC19" s="143"/>
      <c r="AD19" s="143"/>
      <c r="AE19" s="143"/>
    </row>
    <row r="20" spans="1:31" ht="53.25" customHeight="1">
      <c r="A20" s="128"/>
      <c r="B20" s="144"/>
      <c r="C20" s="128"/>
      <c r="D20" s="124"/>
      <c r="E20" s="109" t="s">
        <v>295</v>
      </c>
      <c r="F20" s="109" t="s">
        <v>296</v>
      </c>
      <c r="G20" s="109" t="s">
        <v>297</v>
      </c>
      <c r="H20" s="90" t="s">
        <v>239</v>
      </c>
      <c r="I20" s="110"/>
      <c r="J20" s="110"/>
      <c r="K20" s="110"/>
      <c r="L20" s="110" t="s">
        <v>285</v>
      </c>
      <c r="M20" s="105" t="s">
        <v>286</v>
      </c>
      <c r="N20" s="112"/>
      <c r="O20" s="107"/>
      <c r="P20" s="107"/>
      <c r="Q20" s="107"/>
      <c r="R20" s="107"/>
      <c r="S20" s="107"/>
      <c r="T20" s="107"/>
      <c r="U20" s="107"/>
      <c r="V20" s="107"/>
      <c r="W20" s="107"/>
      <c r="X20" s="107"/>
      <c r="Y20" s="107"/>
      <c r="Z20" s="107"/>
      <c r="AA20" s="120" t="s">
        <v>298</v>
      </c>
      <c r="AB20" s="123" t="s">
        <v>280</v>
      </c>
    </row>
    <row r="21" spans="1:31" ht="106.5" customHeight="1">
      <c r="A21" s="128"/>
      <c r="B21" s="128"/>
      <c r="C21" s="128"/>
      <c r="D21" s="124"/>
      <c r="E21" s="109" t="s">
        <v>299</v>
      </c>
      <c r="F21" s="109" t="s">
        <v>300</v>
      </c>
      <c r="G21" s="109" t="s">
        <v>301</v>
      </c>
      <c r="H21" s="110"/>
      <c r="I21" s="90" t="s">
        <v>239</v>
      </c>
      <c r="J21" s="110"/>
      <c r="K21" s="110"/>
      <c r="L21" s="155" t="s">
        <v>433</v>
      </c>
      <c r="M21" s="112">
        <f>100*70</f>
        <v>7000</v>
      </c>
      <c r="N21" s="112"/>
      <c r="O21" s="107"/>
      <c r="P21" s="107"/>
      <c r="Q21" s="107"/>
      <c r="R21" s="107">
        <f>M21</f>
        <v>7000</v>
      </c>
      <c r="S21" s="107"/>
      <c r="T21" s="107"/>
      <c r="U21" s="107"/>
      <c r="V21" s="107"/>
      <c r="W21" s="107"/>
      <c r="X21" s="107"/>
      <c r="Y21" s="107"/>
      <c r="Z21" s="107"/>
      <c r="AA21" s="120"/>
      <c r="AB21" s="123"/>
    </row>
    <row r="22" spans="1:31" ht="56.25" customHeight="1">
      <c r="A22" s="128"/>
      <c r="B22" s="128"/>
      <c r="C22" s="128"/>
      <c r="D22" s="124"/>
      <c r="E22" s="109"/>
      <c r="F22" s="109"/>
      <c r="G22" s="109"/>
      <c r="H22" s="110"/>
      <c r="I22" s="90"/>
      <c r="J22" s="110"/>
      <c r="K22" s="110"/>
      <c r="L22" s="110" t="s">
        <v>432</v>
      </c>
      <c r="M22" s="112">
        <f>100*25*2</f>
        <v>5000</v>
      </c>
      <c r="N22" s="112"/>
      <c r="O22" s="107"/>
      <c r="P22" s="107"/>
      <c r="Q22" s="107"/>
      <c r="R22" s="107">
        <f>M22</f>
        <v>5000</v>
      </c>
      <c r="S22" s="107"/>
      <c r="T22" s="107"/>
      <c r="U22" s="107"/>
      <c r="V22" s="107"/>
      <c r="W22" s="107"/>
      <c r="X22" s="107"/>
      <c r="Y22" s="107"/>
      <c r="Z22" s="107"/>
      <c r="AA22" s="120"/>
      <c r="AB22" s="123"/>
    </row>
    <row r="23" spans="1:31" ht="59.25" customHeight="1">
      <c r="A23" s="128"/>
      <c r="B23" s="128"/>
      <c r="C23" s="128"/>
      <c r="D23" s="124"/>
      <c r="E23" s="109" t="s">
        <v>387</v>
      </c>
      <c r="F23" s="109" t="s">
        <v>302</v>
      </c>
      <c r="G23" s="109" t="s">
        <v>301</v>
      </c>
      <c r="H23" s="110"/>
      <c r="I23" s="110"/>
      <c r="J23" s="110"/>
      <c r="K23" s="90" t="s">
        <v>239</v>
      </c>
      <c r="L23" s="155" t="s">
        <v>431</v>
      </c>
      <c r="M23" s="112">
        <f>4*12*120</f>
        <v>5760</v>
      </c>
      <c r="N23" s="112"/>
      <c r="O23" s="107"/>
      <c r="P23" s="107"/>
      <c r="Q23" s="107"/>
      <c r="R23" s="107"/>
      <c r="S23" s="107"/>
      <c r="T23" s="107"/>
      <c r="U23" s="107"/>
      <c r="V23" s="107"/>
      <c r="W23" s="107"/>
      <c r="X23" s="107">
        <v>5760</v>
      </c>
      <c r="Y23" s="107"/>
      <c r="Z23" s="107"/>
      <c r="AA23" s="120"/>
      <c r="AB23" s="123"/>
    </row>
    <row r="24" spans="1:31" ht="31.75" customHeight="1">
      <c r="A24" s="156">
        <v>2</v>
      </c>
      <c r="B24" s="156">
        <v>5</v>
      </c>
      <c r="C24" s="156">
        <v>9</v>
      </c>
      <c r="D24" s="102">
        <v>3</v>
      </c>
      <c r="E24" s="167" t="s">
        <v>303</v>
      </c>
      <c r="F24" s="168"/>
      <c r="G24" s="169"/>
      <c r="H24" s="168"/>
      <c r="I24" s="168"/>
      <c r="J24" s="168"/>
      <c r="K24" s="168"/>
      <c r="L24" s="168"/>
      <c r="M24" s="168"/>
      <c r="N24" s="154">
        <f>SUM(M26:M28)</f>
        <v>3540</v>
      </c>
      <c r="O24" s="154">
        <f>SUM(O25:O28)</f>
        <v>0</v>
      </c>
      <c r="P24" s="154">
        <f t="shared" ref="P24:Z24" si="3">SUM(P25:P28)</f>
        <v>0</v>
      </c>
      <c r="Q24" s="154">
        <f t="shared" si="3"/>
        <v>3540</v>
      </c>
      <c r="R24" s="154">
        <f t="shared" si="3"/>
        <v>0</v>
      </c>
      <c r="S24" s="154">
        <f t="shared" si="3"/>
        <v>0</v>
      </c>
      <c r="T24" s="154">
        <f t="shared" si="3"/>
        <v>0</v>
      </c>
      <c r="U24" s="154">
        <f t="shared" si="3"/>
        <v>0</v>
      </c>
      <c r="V24" s="154">
        <f t="shared" si="3"/>
        <v>0</v>
      </c>
      <c r="W24" s="154">
        <f t="shared" si="3"/>
        <v>0</v>
      </c>
      <c r="X24" s="154">
        <f t="shared" si="3"/>
        <v>0</v>
      </c>
      <c r="Y24" s="154">
        <f t="shared" si="3"/>
        <v>0</v>
      </c>
      <c r="Z24" s="154">
        <f t="shared" si="3"/>
        <v>0</v>
      </c>
      <c r="AA24" s="171" t="s">
        <v>2991</v>
      </c>
      <c r="AB24" s="103" t="s">
        <v>280</v>
      </c>
    </row>
    <row r="25" spans="1:31" ht="81" customHeight="1">
      <c r="A25" s="128"/>
      <c r="B25" s="128"/>
      <c r="C25" s="128"/>
      <c r="D25" s="113"/>
      <c r="E25" s="93" t="s">
        <v>305</v>
      </c>
      <c r="F25" s="93" t="s">
        <v>306</v>
      </c>
      <c r="G25" s="93" t="s">
        <v>307</v>
      </c>
      <c r="H25" s="95" t="s">
        <v>308</v>
      </c>
      <c r="I25" s="95"/>
      <c r="J25" s="95"/>
      <c r="K25" s="95"/>
      <c r="L25" s="93"/>
      <c r="M25" s="96" t="s">
        <v>309</v>
      </c>
      <c r="N25" s="126"/>
      <c r="O25" s="96"/>
      <c r="P25" s="96"/>
      <c r="Q25" s="96"/>
      <c r="R25" s="96"/>
      <c r="S25" s="96"/>
      <c r="T25" s="96"/>
      <c r="U25" s="96"/>
      <c r="V25" s="96"/>
      <c r="W25" s="96"/>
      <c r="X25" s="96"/>
      <c r="Y25" s="96"/>
      <c r="Z25" s="96"/>
      <c r="AA25" s="97"/>
      <c r="AB25" s="98"/>
    </row>
    <row r="26" spans="1:31" ht="55.5" customHeight="1">
      <c r="A26" s="128"/>
      <c r="B26" s="128"/>
      <c r="C26" s="128"/>
      <c r="D26" s="113"/>
      <c r="E26" s="100" t="s">
        <v>310</v>
      </c>
      <c r="F26" s="100" t="s">
        <v>311</v>
      </c>
      <c r="G26" s="100" t="s">
        <v>312</v>
      </c>
      <c r="H26" s="100" t="s">
        <v>308</v>
      </c>
      <c r="I26" s="100"/>
      <c r="J26" s="100"/>
      <c r="K26" s="100"/>
      <c r="L26" s="100" t="s">
        <v>313</v>
      </c>
      <c r="M26" s="127">
        <f>15*70</f>
        <v>1050</v>
      </c>
      <c r="N26" s="92"/>
      <c r="O26" s="92"/>
      <c r="P26" s="92"/>
      <c r="Q26" s="101">
        <v>1050</v>
      </c>
      <c r="R26" s="96"/>
      <c r="S26" s="96"/>
      <c r="T26" s="96"/>
      <c r="U26" s="96"/>
      <c r="V26" s="96"/>
      <c r="W26" s="96"/>
      <c r="X26" s="96"/>
      <c r="Y26" s="96"/>
      <c r="Z26" s="96"/>
      <c r="AA26" s="97"/>
      <c r="AB26" s="98"/>
    </row>
    <row r="27" spans="1:31" ht="52.5" customHeight="1">
      <c r="A27" s="128"/>
      <c r="B27" s="128"/>
      <c r="C27" s="128"/>
      <c r="D27" s="113"/>
      <c r="E27" s="100"/>
      <c r="F27" s="100"/>
      <c r="G27" s="100"/>
      <c r="H27" s="95"/>
      <c r="I27" s="100"/>
      <c r="J27" s="100"/>
      <c r="K27" s="100"/>
      <c r="L27" s="100" t="s">
        <v>314</v>
      </c>
      <c r="M27" s="101">
        <f>15*25*2</f>
        <v>750</v>
      </c>
      <c r="N27" s="92"/>
      <c r="O27" s="101"/>
      <c r="P27" s="101"/>
      <c r="Q27" s="101">
        <v>750</v>
      </c>
      <c r="R27" s="96"/>
      <c r="S27" s="96"/>
      <c r="T27" s="96"/>
      <c r="U27" s="96"/>
      <c r="V27" s="96"/>
      <c r="W27" s="96"/>
      <c r="X27" s="96"/>
      <c r="Y27" s="96"/>
      <c r="Z27" s="96"/>
      <c r="AA27" s="97"/>
      <c r="AB27" s="98"/>
    </row>
    <row r="28" spans="1:31" ht="107.25" customHeight="1">
      <c r="A28" s="128"/>
      <c r="B28" s="128"/>
      <c r="C28" s="128"/>
      <c r="D28" s="113"/>
      <c r="E28" s="100" t="s">
        <v>315</v>
      </c>
      <c r="F28" s="100" t="s">
        <v>316</v>
      </c>
      <c r="G28" s="100" t="s">
        <v>317</v>
      </c>
      <c r="H28" s="95" t="s">
        <v>308</v>
      </c>
      <c r="I28" s="95"/>
      <c r="J28" s="95"/>
      <c r="K28" s="95"/>
      <c r="L28" s="100" t="s">
        <v>318</v>
      </c>
      <c r="M28" s="101">
        <f>(120*5*2)+(135*2*2)</f>
        <v>1740</v>
      </c>
      <c r="N28" s="92"/>
      <c r="O28" s="101"/>
      <c r="P28" s="101"/>
      <c r="Q28" s="101">
        <v>1740</v>
      </c>
      <c r="R28" s="92"/>
      <c r="S28" s="92"/>
      <c r="T28" s="92"/>
      <c r="U28" s="92"/>
      <c r="V28" s="92"/>
      <c r="W28" s="92"/>
      <c r="X28" s="92"/>
      <c r="Y28" s="92"/>
      <c r="Z28" s="92"/>
      <c r="AA28" s="98"/>
      <c r="AB28" s="98"/>
    </row>
    <row r="29" spans="1:31" ht="56.25" customHeight="1">
      <c r="A29" s="173">
        <v>4</v>
      </c>
      <c r="B29" s="173">
        <v>13</v>
      </c>
      <c r="C29" s="173">
        <v>36</v>
      </c>
      <c r="D29" s="174">
        <v>4</v>
      </c>
      <c r="E29" s="175" t="s">
        <v>320</v>
      </c>
      <c r="F29" s="168"/>
      <c r="G29" s="168"/>
      <c r="H29" s="168"/>
      <c r="I29" s="161"/>
      <c r="J29" s="168"/>
      <c r="K29" s="168"/>
      <c r="L29" s="168"/>
      <c r="M29" s="170"/>
      <c r="N29" s="154">
        <f>M30+M31</f>
        <v>3600</v>
      </c>
      <c r="O29" s="170">
        <f>SUM(O30:O33)</f>
        <v>0</v>
      </c>
      <c r="P29" s="170">
        <f t="shared" ref="P29:Z29" si="4">SUM(P30:P33)</f>
        <v>0</v>
      </c>
      <c r="Q29" s="170">
        <f t="shared" si="4"/>
        <v>0</v>
      </c>
      <c r="R29" s="170">
        <f t="shared" si="4"/>
        <v>0</v>
      </c>
      <c r="S29" s="170">
        <f t="shared" si="4"/>
        <v>0</v>
      </c>
      <c r="T29" s="170">
        <f t="shared" si="4"/>
        <v>0</v>
      </c>
      <c r="U29" s="170">
        <f t="shared" si="4"/>
        <v>0</v>
      </c>
      <c r="V29" s="170">
        <f t="shared" si="4"/>
        <v>0</v>
      </c>
      <c r="W29" s="170">
        <f t="shared" si="4"/>
        <v>0</v>
      </c>
      <c r="X29" s="170">
        <f t="shared" si="4"/>
        <v>0</v>
      </c>
      <c r="Y29" s="170">
        <f t="shared" si="4"/>
        <v>3600</v>
      </c>
      <c r="Z29" s="170">
        <f t="shared" si="4"/>
        <v>0</v>
      </c>
      <c r="AA29" s="168" t="s">
        <v>2991</v>
      </c>
      <c r="AB29" s="168" t="s">
        <v>280</v>
      </c>
    </row>
    <row r="30" spans="1:31" ht="82.5" customHeight="1">
      <c r="A30" s="145"/>
      <c r="B30" s="145"/>
      <c r="C30" s="145"/>
      <c r="D30" s="114"/>
      <c r="E30" s="100" t="s">
        <v>321</v>
      </c>
      <c r="F30" s="100" t="s">
        <v>322</v>
      </c>
      <c r="G30" s="100" t="s">
        <v>323</v>
      </c>
      <c r="H30" s="100"/>
      <c r="I30" s="95"/>
      <c r="J30" s="100"/>
      <c r="K30" s="100" t="s">
        <v>239</v>
      </c>
      <c r="L30" s="100" t="s">
        <v>417</v>
      </c>
      <c r="M30" s="101">
        <f>30*70</f>
        <v>2100</v>
      </c>
      <c r="N30" s="92"/>
      <c r="O30" s="101"/>
      <c r="P30" s="101"/>
      <c r="Q30" s="101"/>
      <c r="R30" s="101"/>
      <c r="S30" s="101"/>
      <c r="T30" s="101"/>
      <c r="U30" s="101"/>
      <c r="V30" s="101"/>
      <c r="W30" s="101"/>
      <c r="X30" s="101"/>
      <c r="Y30" s="101">
        <v>2100</v>
      </c>
      <c r="Z30" s="101"/>
      <c r="AA30" s="100"/>
      <c r="AB30" s="100"/>
    </row>
    <row r="31" spans="1:31" ht="56.25" customHeight="1">
      <c r="A31" s="145"/>
      <c r="B31" s="145"/>
      <c r="C31" s="145"/>
      <c r="D31" s="114"/>
      <c r="E31" s="100"/>
      <c r="F31" s="100"/>
      <c r="G31" s="100"/>
      <c r="H31" s="100"/>
      <c r="I31" s="95"/>
      <c r="J31" s="100"/>
      <c r="K31" s="100" t="s">
        <v>239</v>
      </c>
      <c r="L31" s="100" t="s">
        <v>418</v>
      </c>
      <c r="M31" s="101">
        <f>30*2*25</f>
        <v>1500</v>
      </c>
      <c r="N31" s="92"/>
      <c r="O31" s="101"/>
      <c r="P31" s="101"/>
      <c r="Q31" s="101"/>
      <c r="R31" s="101"/>
      <c r="S31" s="101"/>
      <c r="T31" s="101"/>
      <c r="U31" s="101"/>
      <c r="V31" s="101"/>
      <c r="W31" s="101"/>
      <c r="X31" s="101"/>
      <c r="Y31" s="101">
        <v>1500</v>
      </c>
      <c r="Z31" s="101"/>
      <c r="AA31" s="100"/>
      <c r="AB31" s="100"/>
    </row>
    <row r="32" spans="1:31" ht="81.75" customHeight="1">
      <c r="A32" s="145"/>
      <c r="B32" s="145"/>
      <c r="C32" s="145"/>
      <c r="D32" s="114"/>
      <c r="E32" s="100" t="s">
        <v>325</v>
      </c>
      <c r="F32" s="100" t="s">
        <v>326</v>
      </c>
      <c r="G32" s="100" t="s">
        <v>323</v>
      </c>
      <c r="H32" s="100"/>
      <c r="I32" s="95"/>
      <c r="J32" s="100"/>
      <c r="K32" s="100" t="s">
        <v>239</v>
      </c>
      <c r="L32" s="100" t="s">
        <v>327</v>
      </c>
      <c r="M32" s="101"/>
      <c r="N32" s="92"/>
      <c r="O32" s="101"/>
      <c r="P32" s="101"/>
      <c r="Q32" s="101"/>
      <c r="R32" s="101"/>
      <c r="S32" s="101"/>
      <c r="T32" s="101"/>
      <c r="U32" s="101"/>
      <c r="V32" s="101"/>
      <c r="W32" s="101"/>
      <c r="X32" s="101"/>
      <c r="Y32" s="101"/>
      <c r="Z32" s="101"/>
      <c r="AA32" s="100"/>
      <c r="AB32" s="100"/>
    </row>
    <row r="33" spans="1:28" ht="78.75" customHeight="1">
      <c r="A33" s="145"/>
      <c r="B33" s="145"/>
      <c r="C33" s="145"/>
      <c r="D33" s="114"/>
      <c r="E33" s="100" t="s">
        <v>328</v>
      </c>
      <c r="F33" s="100" t="s">
        <v>326</v>
      </c>
      <c r="G33" s="100" t="s">
        <v>323</v>
      </c>
      <c r="H33" s="100"/>
      <c r="I33" s="95" t="s">
        <v>239</v>
      </c>
      <c r="J33" s="100"/>
      <c r="K33" s="100" t="s">
        <v>239</v>
      </c>
      <c r="L33" s="100" t="s">
        <v>327</v>
      </c>
      <c r="M33" s="101"/>
      <c r="N33" s="92"/>
      <c r="O33" s="101"/>
      <c r="P33" s="101"/>
      <c r="Q33" s="101"/>
      <c r="R33" s="101"/>
      <c r="S33" s="101"/>
      <c r="T33" s="101"/>
      <c r="U33" s="101"/>
      <c r="V33" s="101"/>
      <c r="W33" s="101"/>
      <c r="X33" s="101"/>
      <c r="Y33" s="101"/>
      <c r="Z33" s="101"/>
      <c r="AA33" s="100"/>
      <c r="AB33" s="100"/>
    </row>
    <row r="34" spans="1:28" ht="35.25" customHeight="1">
      <c r="A34" s="173">
        <v>2</v>
      </c>
      <c r="B34" s="173">
        <v>5</v>
      </c>
      <c r="C34" s="173">
        <v>8</v>
      </c>
      <c r="D34" s="174">
        <v>5</v>
      </c>
      <c r="E34" s="175" t="s">
        <v>329</v>
      </c>
      <c r="F34" s="168"/>
      <c r="G34" s="168"/>
      <c r="H34" s="168"/>
      <c r="I34" s="161"/>
      <c r="J34" s="168"/>
      <c r="K34" s="168"/>
      <c r="L34" s="168"/>
      <c r="M34" s="170"/>
      <c r="N34" s="154">
        <f>M35+M36</f>
        <v>6000</v>
      </c>
      <c r="O34" s="170">
        <f>SUM(O35:O36)</f>
        <v>0</v>
      </c>
      <c r="P34" s="170">
        <f t="shared" ref="P34:Z34" si="5">SUM(P35:P36)</f>
        <v>0</v>
      </c>
      <c r="Q34" s="170">
        <f t="shared" si="5"/>
        <v>0</v>
      </c>
      <c r="R34" s="170">
        <f t="shared" si="5"/>
        <v>0</v>
      </c>
      <c r="S34" s="170">
        <f t="shared" si="5"/>
        <v>0</v>
      </c>
      <c r="T34" s="170">
        <f t="shared" si="5"/>
        <v>0</v>
      </c>
      <c r="U34" s="170">
        <f t="shared" si="5"/>
        <v>0</v>
      </c>
      <c r="V34" s="170">
        <f t="shared" si="5"/>
        <v>6000</v>
      </c>
      <c r="W34" s="170">
        <f t="shared" si="5"/>
        <v>0</v>
      </c>
      <c r="X34" s="170">
        <f t="shared" si="5"/>
        <v>0</v>
      </c>
      <c r="Y34" s="170">
        <f t="shared" si="5"/>
        <v>0</v>
      </c>
      <c r="Z34" s="170">
        <f t="shared" si="5"/>
        <v>0</v>
      </c>
      <c r="AA34" s="168" t="s">
        <v>330</v>
      </c>
      <c r="AB34" s="168" t="s">
        <v>280</v>
      </c>
    </row>
    <row r="35" spans="1:28" ht="66.75" customHeight="1">
      <c r="A35" s="145"/>
      <c r="B35" s="145"/>
      <c r="C35" s="145"/>
      <c r="D35" s="114"/>
      <c r="E35" s="100" t="s">
        <v>331</v>
      </c>
      <c r="F35" s="100" t="s">
        <v>422</v>
      </c>
      <c r="G35" s="100" t="s">
        <v>421</v>
      </c>
      <c r="H35" s="100"/>
      <c r="I35" s="95"/>
      <c r="J35" s="100" t="s">
        <v>239</v>
      </c>
      <c r="K35" s="100"/>
      <c r="L35" s="100" t="s">
        <v>419</v>
      </c>
      <c r="M35" s="101">
        <f>50*70</f>
        <v>3500</v>
      </c>
      <c r="N35" s="92"/>
      <c r="O35" s="101"/>
      <c r="P35" s="101"/>
      <c r="Q35" s="101"/>
      <c r="R35" s="101"/>
      <c r="S35" s="101"/>
      <c r="T35" s="101"/>
      <c r="U35" s="101"/>
      <c r="V35" s="101">
        <v>3500</v>
      </c>
      <c r="W35" s="101"/>
      <c r="X35" s="101"/>
      <c r="Y35" s="101"/>
      <c r="Z35" s="101"/>
      <c r="AA35" s="100"/>
      <c r="AB35" s="100"/>
    </row>
    <row r="36" spans="1:28" ht="59.25" customHeight="1">
      <c r="A36" s="145"/>
      <c r="B36" s="145"/>
      <c r="C36" s="145"/>
      <c r="D36" s="114"/>
      <c r="E36" s="100"/>
      <c r="F36" s="100"/>
      <c r="G36" s="100"/>
      <c r="H36" s="100"/>
      <c r="I36" s="95"/>
      <c r="J36" s="100" t="s">
        <v>239</v>
      </c>
      <c r="K36" s="100"/>
      <c r="L36" s="100" t="s">
        <v>420</v>
      </c>
      <c r="M36" s="101">
        <f>50*2*25</f>
        <v>2500</v>
      </c>
      <c r="N36" s="92"/>
      <c r="O36" s="101"/>
      <c r="P36" s="101"/>
      <c r="Q36" s="101"/>
      <c r="R36" s="101"/>
      <c r="S36" s="101"/>
      <c r="T36" s="101"/>
      <c r="U36" s="101"/>
      <c r="V36" s="101">
        <v>2500</v>
      </c>
      <c r="W36" s="101"/>
      <c r="X36" s="101"/>
      <c r="Y36" s="101"/>
      <c r="Z36" s="101"/>
      <c r="AA36" s="100"/>
      <c r="AB36" s="100"/>
    </row>
    <row r="37" spans="1:28" s="126" customFormat="1" ht="35.15" customHeight="1">
      <c r="A37" s="168">
        <v>1</v>
      </c>
      <c r="B37" s="168">
        <v>1</v>
      </c>
      <c r="C37" s="168">
        <v>1</v>
      </c>
      <c r="D37" s="174">
        <v>6</v>
      </c>
      <c r="E37" s="175" t="s">
        <v>332</v>
      </c>
      <c r="F37" s="168"/>
      <c r="G37" s="168"/>
      <c r="H37" s="168"/>
      <c r="I37" s="161"/>
      <c r="J37" s="168"/>
      <c r="K37" s="168"/>
      <c r="L37" s="168"/>
      <c r="M37" s="170"/>
      <c r="N37" s="154">
        <f>M42+M43</f>
        <v>3880</v>
      </c>
      <c r="O37" s="170">
        <f>SUM(O38:O43)</f>
        <v>0</v>
      </c>
      <c r="P37" s="170">
        <f t="shared" ref="P37:Z37" si="6">SUM(P38:P43)</f>
        <v>0</v>
      </c>
      <c r="Q37" s="170">
        <f t="shared" si="6"/>
        <v>0</v>
      </c>
      <c r="R37" s="170">
        <f t="shared" si="6"/>
        <v>0</v>
      </c>
      <c r="S37" s="170">
        <f t="shared" si="6"/>
        <v>0</v>
      </c>
      <c r="T37" s="170">
        <f t="shared" si="6"/>
        <v>0</v>
      </c>
      <c r="U37" s="170">
        <f t="shared" si="6"/>
        <v>0</v>
      </c>
      <c r="V37" s="170">
        <f t="shared" si="6"/>
        <v>0</v>
      </c>
      <c r="W37" s="170">
        <f t="shared" si="6"/>
        <v>2880</v>
      </c>
      <c r="X37" s="170">
        <f t="shared" si="6"/>
        <v>1000</v>
      </c>
      <c r="Y37" s="170">
        <f t="shared" si="6"/>
        <v>0</v>
      </c>
      <c r="Z37" s="170">
        <f t="shared" si="6"/>
        <v>0</v>
      </c>
      <c r="AA37" s="168" t="s">
        <v>2991</v>
      </c>
      <c r="AB37" s="168" t="s">
        <v>280</v>
      </c>
    </row>
    <row r="38" spans="1:28" s="126" customFormat="1" ht="79.5" customHeight="1">
      <c r="A38" s="130"/>
      <c r="B38" s="130"/>
      <c r="C38" s="130"/>
      <c r="D38" s="114"/>
      <c r="E38" s="100" t="s">
        <v>333</v>
      </c>
      <c r="F38" s="100" t="s">
        <v>334</v>
      </c>
      <c r="G38" s="100" t="s">
        <v>323</v>
      </c>
      <c r="H38" s="100" t="s">
        <v>239</v>
      </c>
      <c r="I38" s="95"/>
      <c r="J38" s="100"/>
      <c r="K38" s="100"/>
      <c r="L38" s="100" t="s">
        <v>285</v>
      </c>
      <c r="M38" s="149" t="s">
        <v>286</v>
      </c>
      <c r="N38" s="92"/>
      <c r="O38" s="101"/>
      <c r="P38" s="101"/>
      <c r="Q38" s="101"/>
      <c r="R38" s="101"/>
      <c r="S38" s="101"/>
      <c r="T38" s="101"/>
      <c r="U38" s="101"/>
      <c r="V38" s="101"/>
      <c r="W38" s="101"/>
      <c r="X38" s="101"/>
      <c r="Y38" s="101"/>
      <c r="Z38" s="101"/>
      <c r="AA38" s="100"/>
      <c r="AB38" s="100"/>
    </row>
    <row r="39" spans="1:28" s="126" customFormat="1" ht="54.75" customHeight="1">
      <c r="A39" s="130"/>
      <c r="B39" s="130"/>
      <c r="C39" s="130"/>
      <c r="D39" s="114"/>
      <c r="E39" s="100"/>
      <c r="F39" s="100" t="s">
        <v>335</v>
      </c>
      <c r="G39" s="100"/>
      <c r="H39" s="100" t="s">
        <v>239</v>
      </c>
      <c r="I39" s="95"/>
      <c r="J39" s="100"/>
      <c r="K39" s="100"/>
      <c r="L39" s="100"/>
      <c r="M39" s="146"/>
      <c r="N39" s="92"/>
      <c r="O39" s="101"/>
      <c r="P39" s="101"/>
      <c r="Q39" s="101"/>
      <c r="R39" s="101"/>
      <c r="S39" s="101"/>
      <c r="T39" s="101"/>
      <c r="U39" s="101"/>
      <c r="V39" s="101"/>
      <c r="W39" s="101"/>
      <c r="X39" s="101"/>
      <c r="Y39" s="101"/>
      <c r="Z39" s="101"/>
      <c r="AA39" s="100"/>
      <c r="AB39" s="100"/>
    </row>
    <row r="40" spans="1:28" s="126" customFormat="1" ht="66" customHeight="1">
      <c r="A40" s="130"/>
      <c r="B40" s="130"/>
      <c r="C40" s="130"/>
      <c r="D40" s="114"/>
      <c r="E40" s="100" t="s">
        <v>336</v>
      </c>
      <c r="F40" s="100" t="s">
        <v>337</v>
      </c>
      <c r="G40" s="100" t="s">
        <v>434</v>
      </c>
      <c r="H40" s="100"/>
      <c r="I40" s="95"/>
      <c r="J40" s="100"/>
      <c r="K40" s="100"/>
      <c r="L40" s="100" t="s">
        <v>388</v>
      </c>
      <c r="M40" s="101" t="s">
        <v>389</v>
      </c>
      <c r="N40" s="92"/>
      <c r="O40" s="101"/>
      <c r="P40" s="101"/>
      <c r="Q40" s="101"/>
      <c r="R40" s="101"/>
      <c r="S40" s="101"/>
      <c r="T40" s="101"/>
      <c r="U40" s="101"/>
      <c r="V40" s="101"/>
      <c r="W40" s="101"/>
      <c r="X40" s="101"/>
      <c r="Y40" s="101"/>
      <c r="Z40" s="101"/>
      <c r="AA40" s="100"/>
      <c r="AB40" s="100"/>
    </row>
    <row r="41" spans="1:28" s="126" customFormat="1" ht="58.5" customHeight="1">
      <c r="A41" s="130"/>
      <c r="B41" s="130"/>
      <c r="C41" s="130"/>
      <c r="D41" s="114"/>
      <c r="E41" s="100"/>
      <c r="F41" s="94" t="s">
        <v>338</v>
      </c>
      <c r="G41" s="94"/>
      <c r="H41" s="147" t="s">
        <v>239</v>
      </c>
      <c r="I41" s="148" t="s">
        <v>239</v>
      </c>
      <c r="J41" s="147"/>
      <c r="K41" s="147"/>
      <c r="L41" s="147"/>
      <c r="M41" s="146"/>
      <c r="N41" s="92"/>
      <c r="O41" s="101"/>
      <c r="P41" s="101"/>
      <c r="Q41" s="101"/>
      <c r="R41" s="101"/>
      <c r="S41" s="101"/>
      <c r="T41" s="101"/>
      <c r="U41" s="101"/>
      <c r="V41" s="101"/>
      <c r="W41" s="101"/>
      <c r="X41" s="101"/>
      <c r="Y41" s="101"/>
      <c r="Z41" s="101"/>
      <c r="AA41" s="100"/>
      <c r="AB41" s="100"/>
    </row>
    <row r="42" spans="1:28" s="126" customFormat="1" ht="87.75" customHeight="1">
      <c r="A42" s="130"/>
      <c r="B42" s="130"/>
      <c r="C42" s="130"/>
      <c r="D42" s="114"/>
      <c r="E42" s="100" t="s">
        <v>390</v>
      </c>
      <c r="F42" s="100" t="s">
        <v>391</v>
      </c>
      <c r="G42" s="100" t="s">
        <v>435</v>
      </c>
      <c r="H42" s="100"/>
      <c r="I42" s="95"/>
      <c r="J42" s="100" t="s">
        <v>239</v>
      </c>
      <c r="K42" s="100"/>
      <c r="L42" s="100" t="s">
        <v>423</v>
      </c>
      <c r="M42" s="101">
        <f>6*4*120</f>
        <v>2880</v>
      </c>
      <c r="N42" s="92"/>
      <c r="O42" s="101"/>
      <c r="P42" s="101"/>
      <c r="Q42" s="101"/>
      <c r="R42" s="101"/>
      <c r="S42" s="101"/>
      <c r="T42" s="101"/>
      <c r="U42" s="101"/>
      <c r="V42" s="101"/>
      <c r="W42" s="101">
        <v>2880</v>
      </c>
      <c r="X42" s="101"/>
      <c r="Y42" s="101"/>
      <c r="Z42" s="101"/>
      <c r="AA42" s="100"/>
      <c r="AB42" s="100"/>
    </row>
    <row r="43" spans="1:28" s="126" customFormat="1" ht="30.75" customHeight="1">
      <c r="A43" s="130"/>
      <c r="B43" s="130"/>
      <c r="C43" s="130"/>
      <c r="D43" s="114"/>
      <c r="E43" s="100"/>
      <c r="F43" s="100"/>
      <c r="G43" s="100"/>
      <c r="H43" s="100"/>
      <c r="I43" s="95"/>
      <c r="J43" s="100"/>
      <c r="K43" s="100" t="s">
        <v>239</v>
      </c>
      <c r="L43" s="100" t="s">
        <v>392</v>
      </c>
      <c r="M43" s="101">
        <v>1000</v>
      </c>
      <c r="N43" s="92"/>
      <c r="O43" s="101"/>
      <c r="P43" s="101"/>
      <c r="Q43" s="101"/>
      <c r="R43" s="101"/>
      <c r="S43" s="101"/>
      <c r="T43" s="101"/>
      <c r="U43" s="101"/>
      <c r="V43" s="101"/>
      <c r="W43" s="101"/>
      <c r="X43" s="101">
        <v>1000</v>
      </c>
      <c r="Y43" s="101"/>
      <c r="Z43" s="101"/>
      <c r="AA43" s="100"/>
      <c r="AB43" s="100"/>
    </row>
    <row r="44" spans="1:28" s="126" customFormat="1" ht="30.9" customHeight="1">
      <c r="A44" s="168">
        <v>1</v>
      </c>
      <c r="B44" s="168">
        <v>1</v>
      </c>
      <c r="C44" s="168">
        <v>1</v>
      </c>
      <c r="D44" s="174">
        <v>7</v>
      </c>
      <c r="E44" s="175" t="s">
        <v>339</v>
      </c>
      <c r="F44" s="168"/>
      <c r="G44" s="168"/>
      <c r="H44" s="168"/>
      <c r="I44" s="161"/>
      <c r="J44" s="168"/>
      <c r="K44" s="168"/>
      <c r="L44" s="168"/>
      <c r="M44" s="170"/>
      <c r="N44" s="154">
        <f>M47+M48+M49+M50+M51+M52+M53+M54+M55+M56</f>
        <v>45000</v>
      </c>
      <c r="O44" s="170">
        <f>SUM(O45:O56)</f>
        <v>0</v>
      </c>
      <c r="P44" s="170">
        <f t="shared" ref="P44:Z44" si="7">SUM(P45:P56)</f>
        <v>0</v>
      </c>
      <c r="Q44" s="170">
        <f t="shared" si="7"/>
        <v>0</v>
      </c>
      <c r="R44" s="170">
        <f t="shared" si="7"/>
        <v>9000</v>
      </c>
      <c r="S44" s="170">
        <f t="shared" si="7"/>
        <v>0</v>
      </c>
      <c r="T44" s="170">
        <f t="shared" si="7"/>
        <v>0</v>
      </c>
      <c r="U44" s="170">
        <f t="shared" si="7"/>
        <v>0</v>
      </c>
      <c r="V44" s="170">
        <f t="shared" si="7"/>
        <v>36000</v>
      </c>
      <c r="W44" s="170">
        <f t="shared" si="7"/>
        <v>0</v>
      </c>
      <c r="X44" s="170">
        <f t="shared" si="7"/>
        <v>0</v>
      </c>
      <c r="Y44" s="170">
        <f t="shared" si="7"/>
        <v>0</v>
      </c>
      <c r="Z44" s="170">
        <f t="shared" si="7"/>
        <v>0</v>
      </c>
      <c r="AA44" s="168" t="s">
        <v>2991</v>
      </c>
      <c r="AB44" s="168" t="s">
        <v>280</v>
      </c>
    </row>
    <row r="45" spans="1:28" s="126" customFormat="1" ht="33.75" customHeight="1">
      <c r="A45" s="130"/>
      <c r="B45" s="130"/>
      <c r="C45" s="130"/>
      <c r="D45" s="114"/>
      <c r="E45" s="100" t="s">
        <v>340</v>
      </c>
      <c r="F45" s="100"/>
      <c r="G45" s="100"/>
      <c r="H45" s="100"/>
      <c r="I45" s="95"/>
      <c r="J45" s="100"/>
      <c r="K45" s="100"/>
      <c r="L45" s="100"/>
      <c r="M45" s="101"/>
      <c r="N45" s="92"/>
      <c r="O45" s="101"/>
      <c r="P45" s="101"/>
      <c r="Q45" s="101"/>
      <c r="R45" s="101"/>
      <c r="S45" s="101"/>
      <c r="T45" s="101"/>
      <c r="U45" s="101"/>
      <c r="V45" s="101"/>
      <c r="W45" s="101"/>
      <c r="X45" s="101"/>
      <c r="Y45" s="101"/>
      <c r="Z45" s="101"/>
      <c r="AA45" s="100"/>
      <c r="AB45" s="100"/>
    </row>
    <row r="46" spans="1:28" s="126" customFormat="1" ht="129" customHeight="1">
      <c r="A46" s="130"/>
      <c r="B46" s="130"/>
      <c r="C46" s="130"/>
      <c r="D46" s="114"/>
      <c r="E46" s="100" t="s">
        <v>341</v>
      </c>
      <c r="F46" s="100" t="s">
        <v>342</v>
      </c>
      <c r="G46" s="100" t="s">
        <v>343</v>
      </c>
      <c r="H46" s="100" t="s">
        <v>239</v>
      </c>
      <c r="I46" s="95"/>
      <c r="J46" s="100"/>
      <c r="K46" s="100"/>
      <c r="L46" s="100" t="s">
        <v>319</v>
      </c>
      <c r="M46" s="101"/>
      <c r="N46" s="92"/>
      <c r="O46" s="101"/>
      <c r="P46" s="101"/>
      <c r="Q46" s="101"/>
      <c r="R46" s="101"/>
      <c r="S46" s="101"/>
      <c r="T46" s="101"/>
      <c r="U46" s="101"/>
      <c r="V46" s="101"/>
      <c r="W46" s="101"/>
      <c r="X46" s="101"/>
      <c r="Y46" s="101"/>
      <c r="Z46" s="101"/>
      <c r="AA46" s="100"/>
      <c r="AB46" s="100"/>
    </row>
    <row r="47" spans="1:28" s="126" customFormat="1" ht="67.5" customHeight="1">
      <c r="A47" s="130"/>
      <c r="B47" s="130"/>
      <c r="C47" s="130"/>
      <c r="D47" s="114"/>
      <c r="E47" s="100" t="s">
        <v>344</v>
      </c>
      <c r="F47" s="100" t="s">
        <v>345</v>
      </c>
      <c r="G47" s="100" t="s">
        <v>346</v>
      </c>
      <c r="H47" s="100"/>
      <c r="I47" s="95" t="s">
        <v>239</v>
      </c>
      <c r="J47" s="100"/>
      <c r="K47" s="100"/>
      <c r="L47" s="100" t="s">
        <v>424</v>
      </c>
      <c r="M47" s="101">
        <f>75*70</f>
        <v>5250</v>
      </c>
      <c r="N47" s="92"/>
      <c r="O47" s="101"/>
      <c r="P47" s="101"/>
      <c r="Q47" s="101"/>
      <c r="R47" s="101">
        <v>5250</v>
      </c>
      <c r="S47" s="101"/>
      <c r="T47" s="101"/>
      <c r="U47" s="101"/>
      <c r="V47" s="101"/>
      <c r="W47" s="101"/>
      <c r="X47" s="101"/>
      <c r="Y47" s="101"/>
      <c r="Z47" s="101"/>
      <c r="AA47" s="100"/>
      <c r="AB47" s="100"/>
    </row>
    <row r="48" spans="1:28" s="126" customFormat="1" ht="59.25" customHeight="1">
      <c r="A48" s="130"/>
      <c r="B48" s="130"/>
      <c r="C48" s="130"/>
      <c r="D48" s="114"/>
      <c r="E48" s="100"/>
      <c r="F48" s="100"/>
      <c r="G48" s="100"/>
      <c r="H48" s="100"/>
      <c r="I48" s="95" t="s">
        <v>239</v>
      </c>
      <c r="J48" s="100"/>
      <c r="K48" s="100"/>
      <c r="L48" s="100" t="s">
        <v>425</v>
      </c>
      <c r="M48" s="101">
        <f>75*2*25</f>
        <v>3750</v>
      </c>
      <c r="N48" s="92"/>
      <c r="O48" s="101"/>
      <c r="P48" s="101"/>
      <c r="Q48" s="101"/>
      <c r="R48" s="101">
        <v>3750</v>
      </c>
      <c r="S48" s="101"/>
      <c r="T48" s="101"/>
      <c r="U48" s="101"/>
      <c r="V48" s="101"/>
      <c r="W48" s="101"/>
      <c r="X48" s="101"/>
      <c r="Y48" s="101"/>
      <c r="Z48" s="101"/>
      <c r="AA48" s="100"/>
      <c r="AB48" s="100"/>
    </row>
    <row r="49" spans="1:31" s="126" customFormat="1" ht="69" customHeight="1">
      <c r="A49" s="130"/>
      <c r="B49" s="130"/>
      <c r="C49" s="130"/>
      <c r="D49" s="114"/>
      <c r="E49" s="100" t="s">
        <v>347</v>
      </c>
      <c r="F49" s="100" t="s">
        <v>348</v>
      </c>
      <c r="G49" s="100" t="s">
        <v>436</v>
      </c>
      <c r="H49" s="100"/>
      <c r="I49" s="95"/>
      <c r="J49" s="100" t="s">
        <v>239</v>
      </c>
      <c r="K49" s="100"/>
      <c r="L49" s="100" t="s">
        <v>426</v>
      </c>
      <c r="M49" s="101">
        <f>30*70*4</f>
        <v>8400</v>
      </c>
      <c r="N49" s="92"/>
      <c r="O49" s="101"/>
      <c r="P49" s="101"/>
      <c r="Q49" s="101"/>
      <c r="R49" s="101"/>
      <c r="S49" s="101"/>
      <c r="T49" s="101"/>
      <c r="U49" s="101"/>
      <c r="V49" s="101">
        <v>8400</v>
      </c>
      <c r="W49" s="101"/>
      <c r="X49" s="101"/>
      <c r="Y49" s="101"/>
      <c r="Z49" s="101"/>
      <c r="AA49" s="100"/>
      <c r="AB49" s="100"/>
    </row>
    <row r="50" spans="1:31" s="126" customFormat="1" ht="69.75" customHeight="1">
      <c r="A50" s="130"/>
      <c r="B50" s="130"/>
      <c r="C50" s="130"/>
      <c r="D50" s="114"/>
      <c r="E50" s="100"/>
      <c r="F50" s="100"/>
      <c r="G50" s="100"/>
      <c r="H50" s="100"/>
      <c r="I50" s="95"/>
      <c r="J50" s="100" t="s">
        <v>239</v>
      </c>
      <c r="K50" s="100"/>
      <c r="L50" s="100" t="s">
        <v>427</v>
      </c>
      <c r="M50" s="101">
        <f>30*2*25*4</f>
        <v>6000</v>
      </c>
      <c r="N50" s="92"/>
      <c r="O50" s="101"/>
      <c r="P50" s="101"/>
      <c r="Q50" s="101"/>
      <c r="R50" s="101"/>
      <c r="S50" s="101"/>
      <c r="T50" s="101"/>
      <c r="U50" s="101"/>
      <c r="V50" s="101">
        <v>6000</v>
      </c>
      <c r="W50" s="101"/>
      <c r="X50" s="101"/>
      <c r="Y50" s="101"/>
      <c r="Z50" s="101"/>
      <c r="AA50" s="100"/>
      <c r="AB50" s="100"/>
    </row>
    <row r="51" spans="1:31" s="126" customFormat="1" ht="55.5" customHeight="1">
      <c r="A51" s="130"/>
      <c r="B51" s="130"/>
      <c r="C51" s="130"/>
      <c r="D51" s="114"/>
      <c r="E51" s="100"/>
      <c r="F51" s="100"/>
      <c r="G51" s="100"/>
      <c r="H51" s="100"/>
      <c r="I51" s="95"/>
      <c r="J51" s="100" t="s">
        <v>239</v>
      </c>
      <c r="K51" s="100"/>
      <c r="L51" s="100" t="s">
        <v>349</v>
      </c>
      <c r="M51" s="101">
        <v>9600</v>
      </c>
      <c r="N51" s="92"/>
      <c r="O51" s="101"/>
      <c r="P51" s="101"/>
      <c r="Q51" s="101"/>
      <c r="R51" s="101"/>
      <c r="S51" s="101"/>
      <c r="T51" s="101"/>
      <c r="U51" s="101"/>
      <c r="V51" s="101">
        <v>9600</v>
      </c>
      <c r="W51" s="101"/>
      <c r="X51" s="101"/>
      <c r="Y51" s="101"/>
      <c r="Z51" s="101"/>
      <c r="AA51" s="100"/>
      <c r="AB51" s="100"/>
    </row>
    <row r="52" spans="1:31" s="126" customFormat="1" ht="95.25" customHeight="1">
      <c r="A52" s="130"/>
      <c r="B52" s="130"/>
      <c r="C52" s="130"/>
      <c r="D52" s="114"/>
      <c r="E52" s="100"/>
      <c r="F52" s="100"/>
      <c r="G52" s="100"/>
      <c r="H52" s="100"/>
      <c r="I52" s="95"/>
      <c r="J52" s="100" t="s">
        <v>239</v>
      </c>
      <c r="K52" s="100"/>
      <c r="L52" s="100" t="s">
        <v>350</v>
      </c>
      <c r="M52" s="101">
        <f>10*120*4</f>
        <v>4800</v>
      </c>
      <c r="N52" s="92"/>
      <c r="O52" s="101"/>
      <c r="P52" s="101"/>
      <c r="Q52" s="101"/>
      <c r="R52" s="101"/>
      <c r="S52" s="101"/>
      <c r="T52" s="101"/>
      <c r="U52" s="101"/>
      <c r="V52" s="101">
        <v>4800</v>
      </c>
      <c r="W52" s="101"/>
      <c r="X52" s="101"/>
      <c r="Y52" s="101"/>
      <c r="Z52" s="101"/>
      <c r="AA52" s="100"/>
      <c r="AB52" s="100"/>
    </row>
    <row r="53" spans="1:31" s="126" customFormat="1" ht="65.25" customHeight="1">
      <c r="A53" s="130"/>
      <c r="B53" s="130"/>
      <c r="C53" s="130"/>
      <c r="D53" s="114"/>
      <c r="E53" s="100" t="s">
        <v>351</v>
      </c>
      <c r="F53" s="100" t="s">
        <v>352</v>
      </c>
      <c r="G53" s="100" t="s">
        <v>353</v>
      </c>
      <c r="H53" s="100"/>
      <c r="I53" s="95"/>
      <c r="J53" s="100" t="s">
        <v>239</v>
      </c>
      <c r="K53" s="100"/>
      <c r="L53" s="100" t="s">
        <v>354</v>
      </c>
      <c r="M53" s="101">
        <f>30*70</f>
        <v>2100</v>
      </c>
      <c r="N53" s="92"/>
      <c r="O53" s="101"/>
      <c r="P53" s="101"/>
      <c r="Q53" s="101"/>
      <c r="R53" s="101"/>
      <c r="S53" s="101"/>
      <c r="T53" s="101"/>
      <c r="U53" s="101"/>
      <c r="V53" s="101">
        <v>2100</v>
      </c>
      <c r="W53" s="101"/>
      <c r="X53" s="101"/>
      <c r="Y53" s="101"/>
      <c r="Z53" s="101"/>
      <c r="AA53" s="100"/>
      <c r="AB53" s="100"/>
    </row>
    <row r="54" spans="1:31" s="126" customFormat="1" ht="67.5" customHeight="1">
      <c r="A54" s="130"/>
      <c r="B54" s="130"/>
      <c r="C54" s="130"/>
      <c r="D54" s="114"/>
      <c r="E54" s="100"/>
      <c r="F54" s="100" t="s">
        <v>355</v>
      </c>
      <c r="G54" s="100"/>
      <c r="H54" s="100"/>
      <c r="I54" s="95"/>
      <c r="J54" s="100" t="s">
        <v>239</v>
      </c>
      <c r="K54" s="100"/>
      <c r="L54" s="100" t="s">
        <v>324</v>
      </c>
      <c r="M54" s="101">
        <v>1500</v>
      </c>
      <c r="N54" s="92"/>
      <c r="O54" s="101"/>
      <c r="P54" s="101"/>
      <c r="Q54" s="101"/>
      <c r="R54" s="101"/>
      <c r="S54" s="101"/>
      <c r="T54" s="101"/>
      <c r="U54" s="101"/>
      <c r="V54" s="101">
        <v>1500</v>
      </c>
      <c r="W54" s="101"/>
      <c r="X54" s="101"/>
      <c r="Y54" s="101"/>
      <c r="Z54" s="101"/>
      <c r="AA54" s="100"/>
      <c r="AB54" s="100"/>
    </row>
    <row r="55" spans="1:31" s="126" customFormat="1" ht="46.5" customHeight="1">
      <c r="A55" s="130"/>
      <c r="B55" s="130"/>
      <c r="C55" s="130"/>
      <c r="D55" s="114"/>
      <c r="E55" s="100"/>
      <c r="F55" s="100"/>
      <c r="G55" s="100"/>
      <c r="H55" s="100"/>
      <c r="I55" s="95"/>
      <c r="J55" s="100" t="s">
        <v>239</v>
      </c>
      <c r="K55" s="100"/>
      <c r="L55" s="94" t="s">
        <v>393</v>
      </c>
      <c r="M55" s="101">
        <f>1*3*600</f>
        <v>1800</v>
      </c>
      <c r="N55" s="92"/>
      <c r="O55" s="101"/>
      <c r="P55" s="101"/>
      <c r="Q55" s="101"/>
      <c r="R55" s="101"/>
      <c r="S55" s="101"/>
      <c r="T55" s="101"/>
      <c r="U55" s="101"/>
      <c r="V55" s="101">
        <v>1800</v>
      </c>
      <c r="W55" s="101"/>
      <c r="X55" s="101"/>
      <c r="Y55" s="101"/>
      <c r="Z55" s="101"/>
      <c r="AA55" s="100"/>
      <c r="AB55" s="100"/>
    </row>
    <row r="56" spans="1:31" s="126" customFormat="1" ht="39" customHeight="1">
      <c r="A56" s="130"/>
      <c r="B56" s="130"/>
      <c r="C56" s="130"/>
      <c r="D56" s="114"/>
      <c r="E56" s="100"/>
      <c r="F56" s="100"/>
      <c r="G56" s="100"/>
      <c r="H56" s="100"/>
      <c r="I56" s="95"/>
      <c r="J56" s="100" t="s">
        <v>239</v>
      </c>
      <c r="K56" s="100"/>
      <c r="L56" s="94" t="s">
        <v>356</v>
      </c>
      <c r="M56" s="101">
        <v>1800</v>
      </c>
      <c r="N56" s="92"/>
      <c r="O56" s="101"/>
      <c r="P56" s="101"/>
      <c r="Q56" s="101"/>
      <c r="R56" s="101"/>
      <c r="S56" s="101"/>
      <c r="T56" s="101"/>
      <c r="U56" s="101"/>
      <c r="V56" s="101">
        <v>1800</v>
      </c>
      <c r="W56" s="101"/>
      <c r="X56" s="101"/>
      <c r="Y56" s="101"/>
      <c r="Z56" s="101"/>
      <c r="AA56" s="100"/>
      <c r="AB56" s="100"/>
    </row>
    <row r="57" spans="1:31" ht="29.15" customHeight="1">
      <c r="A57" s="168">
        <v>2</v>
      </c>
      <c r="B57" s="168">
        <v>5</v>
      </c>
      <c r="C57" s="168">
        <v>8</v>
      </c>
      <c r="D57" s="174">
        <v>8</v>
      </c>
      <c r="E57" s="175" t="s">
        <v>357</v>
      </c>
      <c r="F57" s="168"/>
      <c r="G57" s="168"/>
      <c r="H57" s="168"/>
      <c r="I57" s="161"/>
      <c r="J57" s="168"/>
      <c r="K57" s="168"/>
      <c r="L57" s="168"/>
      <c r="M57" s="170"/>
      <c r="N57" s="154">
        <f>M60</f>
        <v>2400</v>
      </c>
      <c r="O57" s="170">
        <f>SUM(O58:O60)</f>
        <v>0</v>
      </c>
      <c r="P57" s="170">
        <f t="shared" ref="P57:Z57" si="8">SUM(P58:P60)</f>
        <v>0</v>
      </c>
      <c r="Q57" s="170">
        <f t="shared" si="8"/>
        <v>0</v>
      </c>
      <c r="R57" s="170">
        <f t="shared" si="8"/>
        <v>2400</v>
      </c>
      <c r="S57" s="170">
        <f t="shared" si="8"/>
        <v>0</v>
      </c>
      <c r="T57" s="170">
        <f t="shared" si="8"/>
        <v>0</v>
      </c>
      <c r="U57" s="170">
        <f t="shared" si="8"/>
        <v>0</v>
      </c>
      <c r="V57" s="170">
        <f t="shared" si="8"/>
        <v>0</v>
      </c>
      <c r="W57" s="170">
        <f t="shared" si="8"/>
        <v>0</v>
      </c>
      <c r="X57" s="170">
        <f t="shared" si="8"/>
        <v>0</v>
      </c>
      <c r="Y57" s="170">
        <f t="shared" si="8"/>
        <v>0</v>
      </c>
      <c r="Z57" s="170">
        <f t="shared" si="8"/>
        <v>0</v>
      </c>
      <c r="AA57" s="168" t="s">
        <v>2991</v>
      </c>
      <c r="AB57" s="168" t="s">
        <v>280</v>
      </c>
    </row>
    <row r="58" spans="1:31" ht="78.75" customHeight="1">
      <c r="A58" s="130"/>
      <c r="B58" s="130"/>
      <c r="C58" s="130"/>
      <c r="D58" s="114"/>
      <c r="E58" s="100" t="s">
        <v>358</v>
      </c>
      <c r="F58" s="100" t="s">
        <v>359</v>
      </c>
      <c r="G58" s="100" t="s">
        <v>323</v>
      </c>
      <c r="H58" s="100" t="s">
        <v>239</v>
      </c>
      <c r="I58" s="95"/>
      <c r="J58" s="100"/>
      <c r="K58" s="100"/>
      <c r="L58" s="100" t="s">
        <v>319</v>
      </c>
      <c r="M58" s="101"/>
      <c r="N58" s="92"/>
      <c r="O58" s="101"/>
      <c r="P58" s="101"/>
      <c r="Q58" s="101"/>
      <c r="R58" s="101"/>
      <c r="S58" s="101"/>
      <c r="T58" s="101"/>
      <c r="U58" s="101"/>
      <c r="V58" s="101"/>
      <c r="W58" s="101"/>
      <c r="X58" s="101"/>
      <c r="Y58" s="101"/>
      <c r="Z58" s="101"/>
      <c r="AA58" s="100"/>
      <c r="AB58" s="100"/>
    </row>
    <row r="59" spans="1:31" ht="93" customHeight="1">
      <c r="A59" s="130"/>
      <c r="B59" s="130"/>
      <c r="C59" s="130"/>
      <c r="D59" s="114"/>
      <c r="E59" s="100" t="s">
        <v>360</v>
      </c>
      <c r="F59" s="100" t="s">
        <v>361</v>
      </c>
      <c r="G59" s="100" t="s">
        <v>323</v>
      </c>
      <c r="H59" s="100"/>
      <c r="I59" s="95" t="s">
        <v>239</v>
      </c>
      <c r="J59" s="100"/>
      <c r="K59" s="100"/>
      <c r="L59" s="100" t="s">
        <v>362</v>
      </c>
      <c r="M59" s="101"/>
      <c r="N59" s="92"/>
      <c r="O59" s="101"/>
      <c r="P59" s="101"/>
      <c r="Q59" s="101"/>
      <c r="R59" s="101"/>
      <c r="S59" s="101"/>
      <c r="T59" s="101"/>
      <c r="U59" s="101"/>
      <c r="V59" s="101"/>
      <c r="W59" s="101"/>
      <c r="X59" s="101"/>
      <c r="Y59" s="101"/>
      <c r="Z59" s="101"/>
      <c r="AA59" s="100"/>
      <c r="AB59" s="100"/>
    </row>
    <row r="60" spans="1:31" ht="78.75" customHeight="1">
      <c r="A60" s="130"/>
      <c r="B60" s="130"/>
      <c r="C60" s="130"/>
      <c r="D60" s="114"/>
      <c r="E60" s="100" t="s">
        <v>363</v>
      </c>
      <c r="F60" s="100" t="s">
        <v>364</v>
      </c>
      <c r="G60" s="100" t="s">
        <v>323</v>
      </c>
      <c r="H60" s="100"/>
      <c r="I60" s="95" t="s">
        <v>239</v>
      </c>
      <c r="J60" s="100"/>
      <c r="K60" s="100"/>
      <c r="L60" s="100" t="s">
        <v>365</v>
      </c>
      <c r="M60" s="101">
        <f>5*4*120</f>
        <v>2400</v>
      </c>
      <c r="N60" s="92"/>
      <c r="O60" s="101"/>
      <c r="P60" s="101"/>
      <c r="Q60" s="101"/>
      <c r="R60" s="101">
        <v>2400</v>
      </c>
      <c r="S60" s="101"/>
      <c r="T60" s="101"/>
      <c r="U60" s="101"/>
      <c r="V60" s="101"/>
      <c r="W60" s="101"/>
      <c r="X60" s="101"/>
      <c r="Y60" s="101"/>
      <c r="Z60" s="101"/>
      <c r="AA60" s="100"/>
      <c r="AB60" s="100"/>
    </row>
    <row r="61" spans="1:31" ht="44.6" customHeight="1">
      <c r="A61" s="168">
        <v>2</v>
      </c>
      <c r="B61" s="168">
        <v>8</v>
      </c>
      <c r="C61" s="168">
        <v>28</v>
      </c>
      <c r="D61" s="174">
        <v>9</v>
      </c>
      <c r="E61" s="175" t="s">
        <v>366</v>
      </c>
      <c r="F61" s="168"/>
      <c r="G61" s="168"/>
      <c r="H61" s="168"/>
      <c r="I61" s="161"/>
      <c r="J61" s="168"/>
      <c r="K61" s="168"/>
      <c r="L61" s="168"/>
      <c r="M61" s="170"/>
      <c r="N61" s="154">
        <f>M63+M64+M66+M67+M68</f>
        <v>29155</v>
      </c>
      <c r="O61" s="170">
        <f>SUM(O62:O68)</f>
        <v>735</v>
      </c>
      <c r="P61" s="170">
        <f t="shared" ref="P61:Z61" si="9">SUM(P62:P68)</f>
        <v>1470</v>
      </c>
      <c r="Q61" s="170">
        <f t="shared" si="9"/>
        <v>1470</v>
      </c>
      <c r="R61" s="170">
        <f t="shared" si="9"/>
        <v>1470</v>
      </c>
      <c r="S61" s="170">
        <f t="shared" si="9"/>
        <v>1470</v>
      </c>
      <c r="T61" s="170">
        <f t="shared" si="9"/>
        <v>1470</v>
      </c>
      <c r="U61" s="170">
        <f t="shared" si="9"/>
        <v>1470</v>
      </c>
      <c r="V61" s="170">
        <f t="shared" si="9"/>
        <v>1470</v>
      </c>
      <c r="W61" s="170">
        <f t="shared" si="9"/>
        <v>1470</v>
      </c>
      <c r="X61" s="170">
        <f t="shared" si="9"/>
        <v>13720</v>
      </c>
      <c r="Y61" s="170">
        <f t="shared" si="9"/>
        <v>1470</v>
      </c>
      <c r="Z61" s="170">
        <f t="shared" si="9"/>
        <v>1470</v>
      </c>
      <c r="AA61" s="168" t="s">
        <v>2991</v>
      </c>
      <c r="AB61" s="168" t="s">
        <v>280</v>
      </c>
      <c r="AC61" s="129">
        <v>2</v>
      </c>
      <c r="AD61" s="129">
        <v>8</v>
      </c>
      <c r="AE61" s="129">
        <v>30</v>
      </c>
    </row>
    <row r="62" spans="1:31" ht="66.75" customHeight="1">
      <c r="A62" s="130"/>
      <c r="B62" s="130"/>
      <c r="C62" s="130"/>
      <c r="D62" s="114"/>
      <c r="E62" s="100" t="s">
        <v>367</v>
      </c>
      <c r="F62" s="100" t="s">
        <v>368</v>
      </c>
      <c r="G62" s="100" t="s">
        <v>369</v>
      </c>
      <c r="H62" s="100" t="s">
        <v>239</v>
      </c>
      <c r="I62" s="95"/>
      <c r="J62" s="100"/>
      <c r="K62" s="100"/>
      <c r="L62" s="100" t="s">
        <v>370</v>
      </c>
      <c r="M62" s="101" t="s">
        <v>327</v>
      </c>
      <c r="N62" s="92"/>
      <c r="O62" s="101"/>
      <c r="P62" s="101"/>
      <c r="Q62" s="101"/>
      <c r="R62" s="101"/>
      <c r="S62" s="101"/>
      <c r="T62" s="101"/>
      <c r="U62" s="101"/>
      <c r="V62" s="101"/>
      <c r="W62" s="101"/>
      <c r="X62" s="101"/>
      <c r="Y62" s="101"/>
      <c r="Z62" s="101"/>
      <c r="AA62" s="100"/>
      <c r="AB62" s="100"/>
    </row>
    <row r="63" spans="1:31" ht="95.25" customHeight="1">
      <c r="A63" s="130"/>
      <c r="B63" s="130"/>
      <c r="C63" s="130"/>
      <c r="D63" s="114"/>
      <c r="E63" s="100" t="s">
        <v>371</v>
      </c>
      <c r="F63" s="100" t="s">
        <v>372</v>
      </c>
      <c r="G63" s="100" t="s">
        <v>373</v>
      </c>
      <c r="H63" s="100" t="s">
        <v>308</v>
      </c>
      <c r="I63" s="95" t="s">
        <v>308</v>
      </c>
      <c r="J63" s="100" t="s">
        <v>308</v>
      </c>
      <c r="K63" s="100" t="s">
        <v>308</v>
      </c>
      <c r="L63" s="100" t="s">
        <v>374</v>
      </c>
      <c r="M63" s="101">
        <f>(135*23)+(120*5*23)</f>
        <v>16905</v>
      </c>
      <c r="N63" s="92"/>
      <c r="O63" s="101">
        <f>(135*1)+(120*5)</f>
        <v>735</v>
      </c>
      <c r="P63" s="101">
        <f>(135*2)+(120*5*2)</f>
        <v>1470</v>
      </c>
      <c r="Q63" s="101">
        <f t="shared" ref="Q63:Z63" si="10">(135*2)+(120*5*2)</f>
        <v>1470</v>
      </c>
      <c r="R63" s="101">
        <f t="shared" si="10"/>
        <v>1470</v>
      </c>
      <c r="S63" s="101">
        <f t="shared" si="10"/>
        <v>1470</v>
      </c>
      <c r="T63" s="101">
        <f t="shared" si="10"/>
        <v>1470</v>
      </c>
      <c r="U63" s="101">
        <f t="shared" si="10"/>
        <v>1470</v>
      </c>
      <c r="V63" s="101">
        <f t="shared" si="10"/>
        <v>1470</v>
      </c>
      <c r="W63" s="101">
        <f t="shared" si="10"/>
        <v>1470</v>
      </c>
      <c r="X63" s="101">
        <f t="shared" si="10"/>
        <v>1470</v>
      </c>
      <c r="Y63" s="101">
        <f t="shared" si="10"/>
        <v>1470</v>
      </c>
      <c r="Z63" s="101">
        <f t="shared" si="10"/>
        <v>1470</v>
      </c>
      <c r="AA63" s="100"/>
      <c r="AB63" s="100"/>
    </row>
    <row r="64" spans="1:31" ht="94.5" customHeight="1">
      <c r="A64" s="130"/>
      <c r="B64" s="130"/>
      <c r="C64" s="130"/>
      <c r="D64" s="114"/>
      <c r="E64" s="100" t="s">
        <v>375</v>
      </c>
      <c r="F64" s="100" t="s">
        <v>376</v>
      </c>
      <c r="G64" s="100" t="s">
        <v>377</v>
      </c>
      <c r="H64" s="100"/>
      <c r="I64" s="95"/>
      <c r="J64" s="100"/>
      <c r="K64" s="100" t="s">
        <v>308</v>
      </c>
      <c r="L64" s="100" t="s">
        <v>378</v>
      </c>
      <c r="M64" s="101">
        <f>70*25</f>
        <v>1750</v>
      </c>
      <c r="N64" s="92"/>
      <c r="O64" s="101"/>
      <c r="P64" s="101"/>
      <c r="Q64" s="101"/>
      <c r="R64" s="101"/>
      <c r="S64" s="101"/>
      <c r="T64" s="101"/>
      <c r="U64" s="101"/>
      <c r="V64" s="101"/>
      <c r="W64" s="101"/>
      <c r="X64" s="101">
        <v>1750</v>
      </c>
      <c r="Y64" s="101"/>
      <c r="Z64" s="101"/>
      <c r="AA64" s="100"/>
      <c r="AB64" s="100"/>
    </row>
    <row r="65" spans="1:28" ht="37.299999999999997" customHeight="1">
      <c r="A65" s="130"/>
      <c r="B65" s="130"/>
      <c r="C65" s="130"/>
      <c r="D65" s="114">
        <v>9.1</v>
      </c>
      <c r="E65" s="172" t="s">
        <v>379</v>
      </c>
      <c r="F65" s="100"/>
      <c r="G65" s="100"/>
      <c r="H65" s="100"/>
      <c r="I65" s="95"/>
      <c r="J65" s="100"/>
      <c r="K65" s="100"/>
      <c r="L65" s="100"/>
      <c r="M65" s="101"/>
      <c r="N65" s="115"/>
      <c r="O65" s="101"/>
      <c r="P65" s="101"/>
      <c r="Q65" s="101"/>
      <c r="R65" s="101"/>
      <c r="S65" s="101"/>
      <c r="T65" s="101"/>
      <c r="U65" s="101"/>
      <c r="V65" s="101"/>
      <c r="W65" s="101"/>
      <c r="X65" s="101"/>
      <c r="Y65" s="101"/>
      <c r="Z65" s="101"/>
      <c r="AA65" s="100" t="s">
        <v>282</v>
      </c>
      <c r="AB65" s="100" t="s">
        <v>280</v>
      </c>
    </row>
    <row r="66" spans="1:28" ht="70.5" customHeight="1">
      <c r="A66" s="130"/>
      <c r="B66" s="130"/>
      <c r="C66" s="130"/>
      <c r="D66" s="114"/>
      <c r="E66" s="100" t="s">
        <v>380</v>
      </c>
      <c r="F66" s="100" t="s">
        <v>381</v>
      </c>
      <c r="G66" s="100" t="s">
        <v>382</v>
      </c>
      <c r="H66" s="100"/>
      <c r="I66" s="95"/>
      <c r="J66" s="100"/>
      <c r="K66" s="100" t="s">
        <v>308</v>
      </c>
      <c r="L66" s="100" t="s">
        <v>383</v>
      </c>
      <c r="M66" s="101">
        <v>2500</v>
      </c>
      <c r="N66" s="92"/>
      <c r="O66" s="101"/>
      <c r="P66" s="101"/>
      <c r="Q66" s="101"/>
      <c r="R66" s="101"/>
      <c r="S66" s="101"/>
      <c r="T66" s="101"/>
      <c r="U66" s="101"/>
      <c r="V66" s="101"/>
      <c r="W66" s="101"/>
      <c r="X66" s="101">
        <v>2500</v>
      </c>
      <c r="Y66" s="101"/>
      <c r="Z66" s="101"/>
      <c r="AA66" s="100"/>
      <c r="AB66" s="100"/>
    </row>
    <row r="67" spans="1:28" ht="34.5" customHeight="1">
      <c r="A67" s="130"/>
      <c r="B67" s="130"/>
      <c r="C67" s="130"/>
      <c r="D67" s="114"/>
      <c r="E67" s="100"/>
      <c r="F67" s="100"/>
      <c r="G67" s="100"/>
      <c r="H67" s="100"/>
      <c r="I67" s="95"/>
      <c r="J67" s="100"/>
      <c r="K67" s="100" t="s">
        <v>308</v>
      </c>
      <c r="L67" s="100" t="s">
        <v>384</v>
      </c>
      <c r="M67" s="101">
        <v>5000</v>
      </c>
      <c r="N67" s="92"/>
      <c r="O67" s="101"/>
      <c r="P67" s="101"/>
      <c r="Q67" s="101"/>
      <c r="R67" s="101"/>
      <c r="S67" s="101"/>
      <c r="T67" s="101"/>
      <c r="U67" s="101"/>
      <c r="V67" s="101"/>
      <c r="W67" s="101"/>
      <c r="X67" s="101">
        <v>5000</v>
      </c>
      <c r="Y67" s="101"/>
      <c r="Z67" s="101"/>
      <c r="AA67" s="100"/>
      <c r="AB67" s="100"/>
    </row>
    <row r="68" spans="1:28" ht="31.5" customHeight="1">
      <c r="A68" s="130"/>
      <c r="B68" s="130"/>
      <c r="C68" s="130"/>
      <c r="D68" s="114"/>
      <c r="E68" s="100"/>
      <c r="F68" s="100"/>
      <c r="G68" s="100"/>
      <c r="H68" s="100"/>
      <c r="I68" s="95"/>
      <c r="J68" s="100"/>
      <c r="K68" s="100" t="s">
        <v>308</v>
      </c>
      <c r="L68" s="100" t="s">
        <v>385</v>
      </c>
      <c r="M68" s="101">
        <v>3000</v>
      </c>
      <c r="N68" s="92"/>
      <c r="O68" s="101"/>
      <c r="P68" s="101"/>
      <c r="Q68" s="101"/>
      <c r="R68" s="101"/>
      <c r="S68" s="101"/>
      <c r="T68" s="101"/>
      <c r="U68" s="101"/>
      <c r="V68" s="101"/>
      <c r="W68" s="101"/>
      <c r="X68" s="101">
        <v>3000</v>
      </c>
      <c r="Y68" s="101"/>
      <c r="Z68" s="101"/>
      <c r="AA68" s="100"/>
      <c r="AB68" s="100"/>
    </row>
    <row r="69" spans="1:28" ht="33.9" customHeight="1">
      <c r="A69" s="168">
        <v>1</v>
      </c>
      <c r="B69" s="168">
        <v>1</v>
      </c>
      <c r="C69" s="168">
        <v>2</v>
      </c>
      <c r="D69" s="174">
        <v>10</v>
      </c>
      <c r="E69" s="177" t="s">
        <v>397</v>
      </c>
      <c r="F69" s="151"/>
      <c r="G69" s="168"/>
      <c r="H69" s="168"/>
      <c r="I69" s="161"/>
      <c r="J69" s="168"/>
      <c r="K69" s="168"/>
      <c r="L69" s="168"/>
      <c r="M69" s="170"/>
      <c r="N69" s="154">
        <f>SUM(M70:M79)</f>
        <v>81000</v>
      </c>
      <c r="O69" s="170">
        <f>SUM(O70:O79)</f>
        <v>0</v>
      </c>
      <c r="P69" s="170">
        <f t="shared" ref="P69:Z69" si="11">SUM(P70:P79)</f>
        <v>0</v>
      </c>
      <c r="Q69" s="170">
        <f t="shared" si="11"/>
        <v>81000</v>
      </c>
      <c r="R69" s="170">
        <f t="shared" si="11"/>
        <v>0</v>
      </c>
      <c r="S69" s="170">
        <f t="shared" si="11"/>
        <v>0</v>
      </c>
      <c r="T69" s="170">
        <f t="shared" si="11"/>
        <v>0</v>
      </c>
      <c r="U69" s="170">
        <f t="shared" si="11"/>
        <v>0</v>
      </c>
      <c r="V69" s="170">
        <f t="shared" si="11"/>
        <v>0</v>
      </c>
      <c r="W69" s="170">
        <f t="shared" si="11"/>
        <v>0</v>
      </c>
      <c r="X69" s="170">
        <f t="shared" si="11"/>
        <v>0</v>
      </c>
      <c r="Y69" s="170">
        <f t="shared" si="11"/>
        <v>0</v>
      </c>
      <c r="Z69" s="170">
        <f t="shared" si="11"/>
        <v>0</v>
      </c>
      <c r="AA69" s="168" t="s">
        <v>2991</v>
      </c>
      <c r="AB69" s="168" t="s">
        <v>396</v>
      </c>
    </row>
    <row r="70" spans="1:28" ht="35.15" customHeight="1">
      <c r="A70" s="130"/>
      <c r="B70" s="130"/>
      <c r="C70" s="130"/>
      <c r="D70" s="114"/>
      <c r="E70" s="172" t="s">
        <v>400</v>
      </c>
      <c r="F70" s="128"/>
      <c r="G70" s="128"/>
      <c r="H70" s="106"/>
      <c r="I70" s="95"/>
      <c r="J70" s="100"/>
      <c r="K70" s="100"/>
      <c r="L70" s="176"/>
      <c r="M70" s="101"/>
      <c r="N70" s="115"/>
      <c r="O70" s="101"/>
      <c r="P70" s="101"/>
      <c r="Q70" s="101"/>
      <c r="R70" s="101"/>
      <c r="S70" s="101"/>
      <c r="T70" s="101"/>
      <c r="U70" s="101"/>
      <c r="V70" s="101"/>
      <c r="W70" s="101"/>
      <c r="X70" s="101"/>
      <c r="Y70" s="101"/>
      <c r="Z70" s="101"/>
      <c r="AA70" s="100" t="s">
        <v>304</v>
      </c>
      <c r="AB70" s="100" t="s">
        <v>405</v>
      </c>
    </row>
    <row r="71" spans="1:28" ht="83.25" customHeight="1">
      <c r="A71" s="145"/>
      <c r="B71" s="130"/>
      <c r="C71" s="145"/>
      <c r="D71" s="114"/>
      <c r="E71" s="100"/>
      <c r="F71" s="153" t="s">
        <v>406</v>
      </c>
      <c r="G71" s="153" t="s">
        <v>413</v>
      </c>
      <c r="H71" s="152" t="s">
        <v>399</v>
      </c>
      <c r="I71" s="95"/>
      <c r="J71" s="100"/>
      <c r="K71" s="104"/>
      <c r="L71" s="100" t="s">
        <v>401</v>
      </c>
      <c r="M71" s="101">
        <f>100*300</f>
        <v>30000</v>
      </c>
      <c r="N71" s="92"/>
      <c r="O71" s="101"/>
      <c r="P71" s="101"/>
      <c r="Q71" s="101">
        <f>M71</f>
        <v>30000</v>
      </c>
      <c r="R71" s="101"/>
      <c r="S71" s="101"/>
      <c r="T71" s="101"/>
      <c r="U71" s="101"/>
      <c r="V71" s="101"/>
      <c r="W71" s="101"/>
      <c r="X71" s="101"/>
      <c r="Y71" s="101"/>
      <c r="Z71" s="101"/>
      <c r="AA71" s="100"/>
      <c r="AB71" s="100"/>
    </row>
    <row r="72" spans="1:28" ht="67.5" customHeight="1">
      <c r="A72" s="145"/>
      <c r="B72" s="130"/>
      <c r="C72" s="145"/>
      <c r="D72" s="114"/>
      <c r="E72" s="100"/>
      <c r="F72" s="153" t="s">
        <v>398</v>
      </c>
      <c r="G72" s="100"/>
      <c r="H72" s="100"/>
      <c r="I72" s="95"/>
      <c r="J72" s="100"/>
      <c r="K72" s="104"/>
      <c r="L72" s="100" t="s">
        <v>402</v>
      </c>
      <c r="M72" s="101">
        <f>100*50*1</f>
        <v>5000</v>
      </c>
      <c r="N72" s="92"/>
      <c r="O72" s="101"/>
      <c r="P72" s="101"/>
      <c r="Q72" s="101">
        <f>M72</f>
        <v>5000</v>
      </c>
      <c r="R72" s="101"/>
      <c r="S72" s="101"/>
      <c r="T72" s="101"/>
      <c r="U72" s="101"/>
      <c r="V72" s="101"/>
      <c r="W72" s="101"/>
      <c r="X72" s="101"/>
      <c r="Y72" s="101"/>
      <c r="Z72" s="101"/>
      <c r="AA72" s="100"/>
      <c r="AB72" s="100"/>
    </row>
    <row r="73" spans="1:28" ht="56.25" customHeight="1">
      <c r="A73" s="145"/>
      <c r="B73" s="130"/>
      <c r="C73" s="145"/>
      <c r="D73" s="114"/>
      <c r="E73" s="100"/>
      <c r="F73" s="150" t="s">
        <v>411</v>
      </c>
      <c r="G73" s="100"/>
      <c r="H73" s="100"/>
      <c r="I73" s="95"/>
      <c r="J73" s="100"/>
      <c r="K73" s="104"/>
      <c r="L73" s="100" t="s">
        <v>403</v>
      </c>
      <c r="M73" s="101">
        <f>2*2*600</f>
        <v>2400</v>
      </c>
      <c r="N73" s="92"/>
      <c r="O73" s="101"/>
      <c r="P73" s="101"/>
      <c r="Q73" s="101">
        <f>M73</f>
        <v>2400</v>
      </c>
      <c r="R73" s="101"/>
      <c r="S73" s="101"/>
      <c r="T73" s="101"/>
      <c r="U73" s="101"/>
      <c r="V73" s="101"/>
      <c r="W73" s="101"/>
      <c r="X73" s="101"/>
      <c r="Y73" s="101"/>
      <c r="Z73" s="101"/>
      <c r="AA73" s="100"/>
      <c r="AB73" s="100"/>
    </row>
    <row r="74" spans="1:28" ht="18" customHeight="1">
      <c r="A74" s="145"/>
      <c r="B74" s="130"/>
      <c r="C74" s="145"/>
      <c r="D74" s="114"/>
      <c r="E74" s="100"/>
      <c r="F74" s="150"/>
      <c r="G74" s="100"/>
      <c r="H74" s="100"/>
      <c r="I74" s="95"/>
      <c r="J74" s="100"/>
      <c r="K74" s="104"/>
      <c r="L74" s="100" t="s">
        <v>404</v>
      </c>
      <c r="M74" s="101">
        <v>5000</v>
      </c>
      <c r="N74" s="92"/>
      <c r="O74" s="101"/>
      <c r="P74" s="101"/>
      <c r="Q74" s="101">
        <f>M74</f>
        <v>5000</v>
      </c>
      <c r="R74" s="101"/>
      <c r="S74" s="101"/>
      <c r="T74" s="101"/>
      <c r="U74" s="101"/>
      <c r="V74" s="101"/>
      <c r="W74" s="101"/>
      <c r="X74" s="101"/>
      <c r="Y74" s="101"/>
      <c r="Z74" s="101"/>
      <c r="AA74" s="100"/>
      <c r="AB74" s="100"/>
    </row>
    <row r="75" spans="1:28" ht="39.450000000000003" customHeight="1">
      <c r="A75" s="145"/>
      <c r="B75" s="130"/>
      <c r="C75" s="145"/>
      <c r="D75" s="114"/>
      <c r="E75" s="172" t="s">
        <v>407</v>
      </c>
      <c r="F75" s="150"/>
      <c r="G75" s="100"/>
      <c r="H75" s="100"/>
      <c r="I75" s="95"/>
      <c r="J75" s="100"/>
      <c r="K75" s="104"/>
      <c r="L75" s="100"/>
      <c r="M75" s="101"/>
      <c r="N75" s="115"/>
      <c r="O75" s="101"/>
      <c r="P75" s="101"/>
      <c r="Q75" s="101"/>
      <c r="R75" s="101"/>
      <c r="S75" s="101"/>
      <c r="T75" s="101"/>
      <c r="U75" s="101"/>
      <c r="V75" s="101"/>
      <c r="W75" s="101"/>
      <c r="X75" s="101"/>
      <c r="Y75" s="101"/>
      <c r="Z75" s="101"/>
      <c r="AA75" s="100"/>
      <c r="AB75" s="100"/>
    </row>
    <row r="76" spans="1:28" ht="114.75" customHeight="1">
      <c r="A76" s="145"/>
      <c r="B76" s="130"/>
      <c r="C76" s="145"/>
      <c r="D76" s="114"/>
      <c r="E76" s="100"/>
      <c r="F76" s="150" t="s">
        <v>408</v>
      </c>
      <c r="G76" s="100" t="s">
        <v>412</v>
      </c>
      <c r="H76" s="100" t="s">
        <v>399</v>
      </c>
      <c r="I76" s="95"/>
      <c r="J76" s="100"/>
      <c r="K76" s="104"/>
      <c r="L76" s="100" t="s">
        <v>414</v>
      </c>
      <c r="M76" s="101">
        <f>200*70</f>
        <v>14000</v>
      </c>
      <c r="N76" s="92"/>
      <c r="O76" s="101"/>
      <c r="P76" s="101"/>
      <c r="Q76" s="101">
        <f>M76</f>
        <v>14000</v>
      </c>
      <c r="R76" s="101"/>
      <c r="S76" s="101"/>
      <c r="T76" s="101"/>
      <c r="U76" s="101"/>
      <c r="V76" s="101"/>
      <c r="W76" s="101"/>
      <c r="X76" s="101"/>
      <c r="Y76" s="101"/>
      <c r="Z76" s="101"/>
      <c r="AA76" s="100"/>
      <c r="AB76" s="100"/>
    </row>
    <row r="77" spans="1:28" ht="78" customHeight="1">
      <c r="A77" s="145"/>
      <c r="B77" s="130"/>
      <c r="C77" s="145"/>
      <c r="D77" s="114"/>
      <c r="E77" s="100"/>
      <c r="F77" s="150" t="s">
        <v>409</v>
      </c>
      <c r="G77" s="100"/>
      <c r="H77" s="100"/>
      <c r="I77" s="95"/>
      <c r="J77" s="100"/>
      <c r="K77" s="104"/>
      <c r="L77" s="100" t="s">
        <v>415</v>
      </c>
      <c r="M77" s="101">
        <f>25*2*200</f>
        <v>10000</v>
      </c>
      <c r="N77" s="92"/>
      <c r="O77" s="101"/>
      <c r="P77" s="101"/>
      <c r="Q77" s="101">
        <f>M77</f>
        <v>10000</v>
      </c>
      <c r="R77" s="101"/>
      <c r="S77" s="101"/>
      <c r="T77" s="101"/>
      <c r="U77" s="101"/>
      <c r="V77" s="101"/>
      <c r="W77" s="101"/>
      <c r="X77" s="101"/>
      <c r="Y77" s="101"/>
      <c r="Z77" s="101"/>
      <c r="AA77" s="100"/>
      <c r="AB77" s="100"/>
    </row>
    <row r="78" spans="1:28" ht="54.75" customHeight="1">
      <c r="A78" s="145"/>
      <c r="B78" s="130"/>
      <c r="C78" s="145"/>
      <c r="D78" s="114"/>
      <c r="E78" s="100"/>
      <c r="F78" s="150" t="s">
        <v>410</v>
      </c>
      <c r="G78" s="100"/>
      <c r="H78" s="100"/>
      <c r="I78" s="95"/>
      <c r="J78" s="100"/>
      <c r="K78" s="104"/>
      <c r="L78" s="100" t="s">
        <v>416</v>
      </c>
      <c r="M78" s="101">
        <f>8*2*600</f>
        <v>9600</v>
      </c>
      <c r="N78" s="92"/>
      <c r="O78" s="101"/>
      <c r="P78" s="101"/>
      <c r="Q78" s="101">
        <f>M78</f>
        <v>9600</v>
      </c>
      <c r="R78" s="101"/>
      <c r="S78" s="101"/>
      <c r="T78" s="101"/>
      <c r="U78" s="101"/>
      <c r="V78" s="101"/>
      <c r="W78" s="101"/>
      <c r="X78" s="101"/>
      <c r="Y78" s="101"/>
      <c r="Z78" s="101"/>
      <c r="AA78" s="100"/>
      <c r="AB78" s="100"/>
    </row>
    <row r="79" spans="1:28" ht="21" customHeight="1">
      <c r="A79" s="145"/>
      <c r="B79" s="130"/>
      <c r="C79" s="145"/>
      <c r="D79" s="114"/>
      <c r="E79" s="100"/>
      <c r="F79" s="150"/>
      <c r="G79" s="100"/>
      <c r="H79" s="100"/>
      <c r="I79" s="95"/>
      <c r="J79" s="100"/>
      <c r="K79" s="104"/>
      <c r="L79" s="100" t="s">
        <v>404</v>
      </c>
      <c r="M79" s="101">
        <v>5000</v>
      </c>
      <c r="N79" s="92"/>
      <c r="O79" s="101"/>
      <c r="P79" s="101"/>
      <c r="Q79" s="101">
        <f>M79</f>
        <v>5000</v>
      </c>
      <c r="R79" s="101"/>
      <c r="S79" s="101"/>
      <c r="T79" s="101"/>
      <c r="U79" s="101"/>
      <c r="V79" s="101"/>
      <c r="W79" s="101"/>
      <c r="X79" s="101"/>
      <c r="Y79" s="101"/>
      <c r="Z79" s="101"/>
      <c r="AA79" s="100"/>
      <c r="AB79" s="100"/>
    </row>
    <row r="80" spans="1:28">
      <c r="A80" s="145"/>
      <c r="B80" s="145"/>
      <c r="C80" s="145"/>
      <c r="D80" s="114"/>
      <c r="E80" s="116" t="s">
        <v>386</v>
      </c>
      <c r="F80" s="117"/>
      <c r="G80" s="117"/>
      <c r="H80" s="117"/>
      <c r="I80" s="117"/>
      <c r="J80" s="117"/>
      <c r="K80" s="118"/>
      <c r="L80" s="117"/>
      <c r="M80" s="119"/>
      <c r="N80" s="154">
        <f>N11+N19+N24+N29+N34+N37+N44+N57+N61+N65+N70+N75</f>
        <v>133110</v>
      </c>
      <c r="O80" s="92">
        <f>SUM(O11:O79)</f>
        <v>1470</v>
      </c>
      <c r="P80" s="92">
        <f t="shared" ref="P80:Z80" si="12">SUM(P11:P79)</f>
        <v>2940</v>
      </c>
      <c r="Q80" s="92">
        <f t="shared" si="12"/>
        <v>187620</v>
      </c>
      <c r="R80" s="92">
        <f t="shared" si="12"/>
        <v>49740</v>
      </c>
      <c r="S80" s="92">
        <f t="shared" si="12"/>
        <v>2940</v>
      </c>
      <c r="T80" s="92">
        <f t="shared" si="12"/>
        <v>15290</v>
      </c>
      <c r="U80" s="92">
        <f t="shared" si="12"/>
        <v>2940</v>
      </c>
      <c r="V80" s="92">
        <f t="shared" si="12"/>
        <v>86940</v>
      </c>
      <c r="W80" s="92">
        <f t="shared" si="12"/>
        <v>8700</v>
      </c>
      <c r="X80" s="92">
        <f t="shared" si="12"/>
        <v>40960</v>
      </c>
      <c r="Y80" s="92">
        <f t="shared" si="12"/>
        <v>25740</v>
      </c>
      <c r="Z80" s="92">
        <f t="shared" si="12"/>
        <v>2940</v>
      </c>
      <c r="AA80" s="99"/>
      <c r="AB80" s="99"/>
    </row>
  </sheetData>
  <mergeCells count="15">
    <mergeCell ref="D1:AB1"/>
    <mergeCell ref="D8:D10"/>
    <mergeCell ref="E8:E10"/>
    <mergeCell ref="F8:F10"/>
    <mergeCell ref="G8:G10"/>
    <mergeCell ref="H8:K9"/>
    <mergeCell ref="L8:M9"/>
    <mergeCell ref="N8:N10"/>
    <mergeCell ref="O8:Z8"/>
    <mergeCell ref="AA8:AA10"/>
    <mergeCell ref="AB8:AB10"/>
    <mergeCell ref="O9:Q9"/>
    <mergeCell ref="R9:T9"/>
    <mergeCell ref="U9:W9"/>
    <mergeCell ref="X9:Z9"/>
  </mergeCells>
  <pageMargins left="0.7" right="0.7" top="0.75" bottom="0.75" header="0.3" footer="0.3"/>
  <pageSetup paperSize="9" orientation="portrait" r:id="rId1"/>
  <ignoredErrors>
    <ignoredError sqref="M14 M1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393D2-CA5D-4EFD-85B1-9522E6A59B46}">
  <sheetPr>
    <tabColor rgb="FF92D050"/>
  </sheetPr>
  <dimension ref="A1:BA73"/>
  <sheetViews>
    <sheetView workbookViewId="0">
      <selection activeCell="O3" sqref="O3"/>
    </sheetView>
  </sheetViews>
  <sheetFormatPr defaultRowHeight="16.75"/>
  <cols>
    <col min="1" max="1" width="3.2109375" style="194" customWidth="1"/>
    <col min="2" max="2" width="4" style="194" customWidth="1"/>
    <col min="3" max="3" width="4.85546875" style="194" customWidth="1"/>
    <col min="4" max="4" width="4.35546875" style="194" customWidth="1"/>
    <col min="5" max="5" width="20.640625" style="194" customWidth="1"/>
    <col min="6" max="6" width="10.2109375" style="194" customWidth="1"/>
    <col min="7" max="7" width="12.640625" style="194" customWidth="1"/>
    <col min="8" max="8" width="3.85546875" style="194" customWidth="1"/>
    <col min="9" max="9" width="4.2109375" style="194" customWidth="1"/>
    <col min="10" max="10" width="4.140625" style="194" customWidth="1"/>
    <col min="11" max="11" width="4" style="194" customWidth="1"/>
    <col min="12" max="12" width="17.35546875" style="194" customWidth="1"/>
    <col min="13" max="13" width="10.35546875" style="194" bestFit="1" customWidth="1"/>
    <col min="14" max="14" width="11.0703125" style="194" customWidth="1"/>
    <col min="15" max="15" width="7.2109375" style="194" customWidth="1"/>
    <col min="16" max="16" width="7.5703125" style="194" customWidth="1"/>
    <col min="17" max="17" width="8" style="194" customWidth="1"/>
    <col min="18" max="18" width="8.5703125" style="194" customWidth="1"/>
    <col min="19" max="19" width="7.78515625" style="194" customWidth="1"/>
    <col min="20" max="20" width="8.2109375" style="194" customWidth="1"/>
    <col min="21" max="21" width="5" style="194" customWidth="1"/>
    <col min="22" max="22" width="9.85546875" style="194" customWidth="1"/>
    <col min="23" max="23" width="10.28515625" style="194" customWidth="1"/>
    <col min="24" max="24" width="9.78515625" style="194" customWidth="1"/>
    <col min="25" max="25" width="8" style="194" customWidth="1"/>
    <col min="26" max="26" width="8.42578125" style="194" customWidth="1"/>
    <col min="27" max="27" width="10.640625" style="194" customWidth="1"/>
    <col min="28" max="29" width="7.140625" style="194" customWidth="1"/>
    <col min="30" max="255" width="9.140625" style="194"/>
    <col min="256" max="256" width="4.35546875" style="194" customWidth="1"/>
    <col min="257" max="257" width="20.640625" style="194" customWidth="1"/>
    <col min="258" max="258" width="12.35546875" style="194" customWidth="1"/>
    <col min="259" max="259" width="12.640625" style="194" customWidth="1"/>
    <col min="260" max="260" width="3.85546875" style="194" customWidth="1"/>
    <col min="261" max="261" width="4.2109375" style="194" customWidth="1"/>
    <col min="262" max="262" width="4.140625" style="194" customWidth="1"/>
    <col min="263" max="263" width="4" style="194" customWidth="1"/>
    <col min="264" max="264" width="16.35546875" style="194" customWidth="1"/>
    <col min="265" max="265" width="5.640625" style="194" customWidth="1"/>
    <col min="266" max="266" width="8.7109375" style="194" customWidth="1"/>
    <col min="267" max="267" width="5.35546875" style="194" customWidth="1"/>
    <col min="268" max="268" width="4.35546875" style="194" customWidth="1"/>
    <col min="269" max="269" width="4.2109375" style="194" customWidth="1"/>
    <col min="270" max="270" width="3.140625" style="194" customWidth="1"/>
    <col min="271" max="271" width="4.640625" style="194" customWidth="1"/>
    <col min="272" max="272" width="4.35546875" style="194" customWidth="1"/>
    <col min="273" max="273" width="4" style="194" customWidth="1"/>
    <col min="274" max="274" width="3" style="194" customWidth="1"/>
    <col min="275" max="275" width="3.85546875" style="194" customWidth="1"/>
    <col min="276" max="276" width="4.35546875" style="194" customWidth="1"/>
    <col min="277" max="277" width="3.35546875" style="194" customWidth="1"/>
    <col min="278" max="278" width="4.85546875" style="194" customWidth="1"/>
    <col min="279" max="279" width="10.640625" style="194" customWidth="1"/>
    <col min="280" max="280" width="7.140625" style="194" customWidth="1"/>
    <col min="281" max="281" width="8.140625" style="194" customWidth="1"/>
    <col min="282" max="282" width="7.640625" style="194" customWidth="1"/>
    <col min="283" max="284" width="7.7109375" style="194" customWidth="1"/>
    <col min="285" max="285" width="7.140625" style="194" customWidth="1"/>
    <col min="286" max="511" width="9.140625" style="194"/>
    <col min="512" max="512" width="4.35546875" style="194" customWidth="1"/>
    <col min="513" max="513" width="20.640625" style="194" customWidth="1"/>
    <col min="514" max="514" width="12.35546875" style="194" customWidth="1"/>
    <col min="515" max="515" width="12.640625" style="194" customWidth="1"/>
    <col min="516" max="516" width="3.85546875" style="194" customWidth="1"/>
    <col min="517" max="517" width="4.2109375" style="194" customWidth="1"/>
    <col min="518" max="518" width="4.140625" style="194" customWidth="1"/>
    <col min="519" max="519" width="4" style="194" customWidth="1"/>
    <col min="520" max="520" width="16.35546875" style="194" customWidth="1"/>
    <col min="521" max="521" width="5.640625" style="194" customWidth="1"/>
    <col min="522" max="522" width="8.7109375" style="194" customWidth="1"/>
    <col min="523" max="523" width="5.35546875" style="194" customWidth="1"/>
    <col min="524" max="524" width="4.35546875" style="194" customWidth="1"/>
    <col min="525" max="525" width="4.2109375" style="194" customWidth="1"/>
    <col min="526" max="526" width="3.140625" style="194" customWidth="1"/>
    <col min="527" max="527" width="4.640625" style="194" customWidth="1"/>
    <col min="528" max="528" width="4.35546875" style="194" customWidth="1"/>
    <col min="529" max="529" width="4" style="194" customWidth="1"/>
    <col min="530" max="530" width="3" style="194" customWidth="1"/>
    <col min="531" max="531" width="3.85546875" style="194" customWidth="1"/>
    <col min="532" max="532" width="4.35546875" style="194" customWidth="1"/>
    <col min="533" max="533" width="3.35546875" style="194" customWidth="1"/>
    <col min="534" max="534" width="4.85546875" style="194" customWidth="1"/>
    <col min="535" max="535" width="10.640625" style="194" customWidth="1"/>
    <col min="536" max="536" width="7.140625" style="194" customWidth="1"/>
    <col min="537" max="537" width="8.140625" style="194" customWidth="1"/>
    <col min="538" max="538" width="7.640625" style="194" customWidth="1"/>
    <col min="539" max="540" width="7.7109375" style="194" customWidth="1"/>
    <col min="541" max="541" width="7.140625" style="194" customWidth="1"/>
    <col min="542" max="767" width="9.140625" style="194"/>
    <col min="768" max="768" width="4.35546875" style="194" customWidth="1"/>
    <col min="769" max="769" width="20.640625" style="194" customWidth="1"/>
    <col min="770" max="770" width="12.35546875" style="194" customWidth="1"/>
    <col min="771" max="771" width="12.640625" style="194" customWidth="1"/>
    <col min="772" max="772" width="3.85546875" style="194" customWidth="1"/>
    <col min="773" max="773" width="4.2109375" style="194" customWidth="1"/>
    <col min="774" max="774" width="4.140625" style="194" customWidth="1"/>
    <col min="775" max="775" width="4" style="194" customWidth="1"/>
    <col min="776" max="776" width="16.35546875" style="194" customWidth="1"/>
    <col min="777" max="777" width="5.640625" style="194" customWidth="1"/>
    <col min="778" max="778" width="8.7109375" style="194" customWidth="1"/>
    <col min="779" max="779" width="5.35546875" style="194" customWidth="1"/>
    <col min="780" max="780" width="4.35546875" style="194" customWidth="1"/>
    <col min="781" max="781" width="4.2109375" style="194" customWidth="1"/>
    <col min="782" max="782" width="3.140625" style="194" customWidth="1"/>
    <col min="783" max="783" width="4.640625" style="194" customWidth="1"/>
    <col min="784" max="784" width="4.35546875" style="194" customWidth="1"/>
    <col min="785" max="785" width="4" style="194" customWidth="1"/>
    <col min="786" max="786" width="3" style="194" customWidth="1"/>
    <col min="787" max="787" width="3.85546875" style="194" customWidth="1"/>
    <col min="788" max="788" width="4.35546875" style="194" customWidth="1"/>
    <col min="789" max="789" width="3.35546875" style="194" customWidth="1"/>
    <col min="790" max="790" width="4.85546875" style="194" customWidth="1"/>
    <col min="791" max="791" width="10.640625" style="194" customWidth="1"/>
    <col min="792" max="792" width="7.140625" style="194" customWidth="1"/>
    <col min="793" max="793" width="8.140625" style="194" customWidth="1"/>
    <col min="794" max="794" width="7.640625" style="194" customWidth="1"/>
    <col min="795" max="796" width="7.7109375" style="194" customWidth="1"/>
    <col min="797" max="797" width="7.140625" style="194" customWidth="1"/>
    <col min="798" max="1023" width="9.140625" style="194"/>
    <col min="1024" max="1024" width="4.35546875" style="194" customWidth="1"/>
    <col min="1025" max="1025" width="20.640625" style="194" customWidth="1"/>
    <col min="1026" max="1026" width="12.35546875" style="194" customWidth="1"/>
    <col min="1027" max="1027" width="12.640625" style="194" customWidth="1"/>
    <col min="1028" max="1028" width="3.85546875" style="194" customWidth="1"/>
    <col min="1029" max="1029" width="4.2109375" style="194" customWidth="1"/>
    <col min="1030" max="1030" width="4.140625" style="194" customWidth="1"/>
    <col min="1031" max="1031" width="4" style="194" customWidth="1"/>
    <col min="1032" max="1032" width="16.35546875" style="194" customWidth="1"/>
    <col min="1033" max="1033" width="5.640625" style="194" customWidth="1"/>
    <col min="1034" max="1034" width="8.7109375" style="194" customWidth="1"/>
    <col min="1035" max="1035" width="5.35546875" style="194" customWidth="1"/>
    <col min="1036" max="1036" width="4.35546875" style="194" customWidth="1"/>
    <col min="1037" max="1037" width="4.2109375" style="194" customWidth="1"/>
    <col min="1038" max="1038" width="3.140625" style="194" customWidth="1"/>
    <col min="1039" max="1039" width="4.640625" style="194" customWidth="1"/>
    <col min="1040" max="1040" width="4.35546875" style="194" customWidth="1"/>
    <col min="1041" max="1041" width="4" style="194" customWidth="1"/>
    <col min="1042" max="1042" width="3" style="194" customWidth="1"/>
    <col min="1043" max="1043" width="3.85546875" style="194" customWidth="1"/>
    <col min="1044" max="1044" width="4.35546875" style="194" customWidth="1"/>
    <col min="1045" max="1045" width="3.35546875" style="194" customWidth="1"/>
    <col min="1046" max="1046" width="4.85546875" style="194" customWidth="1"/>
    <col min="1047" max="1047" width="10.640625" style="194" customWidth="1"/>
    <col min="1048" max="1048" width="7.140625" style="194" customWidth="1"/>
    <col min="1049" max="1049" width="8.140625" style="194" customWidth="1"/>
    <col min="1050" max="1050" width="7.640625" style="194" customWidth="1"/>
    <col min="1051" max="1052" width="7.7109375" style="194" customWidth="1"/>
    <col min="1053" max="1053" width="7.140625" style="194" customWidth="1"/>
    <col min="1054" max="1279" width="9.140625" style="194"/>
    <col min="1280" max="1280" width="4.35546875" style="194" customWidth="1"/>
    <col min="1281" max="1281" width="20.640625" style="194" customWidth="1"/>
    <col min="1282" max="1282" width="12.35546875" style="194" customWidth="1"/>
    <col min="1283" max="1283" width="12.640625" style="194" customWidth="1"/>
    <col min="1284" max="1284" width="3.85546875" style="194" customWidth="1"/>
    <col min="1285" max="1285" width="4.2109375" style="194" customWidth="1"/>
    <col min="1286" max="1286" width="4.140625" style="194" customWidth="1"/>
    <col min="1287" max="1287" width="4" style="194" customWidth="1"/>
    <col min="1288" max="1288" width="16.35546875" style="194" customWidth="1"/>
    <col min="1289" max="1289" width="5.640625" style="194" customWidth="1"/>
    <col min="1290" max="1290" width="8.7109375" style="194" customWidth="1"/>
    <col min="1291" max="1291" width="5.35546875" style="194" customWidth="1"/>
    <col min="1292" max="1292" width="4.35546875" style="194" customWidth="1"/>
    <col min="1293" max="1293" width="4.2109375" style="194" customWidth="1"/>
    <col min="1294" max="1294" width="3.140625" style="194" customWidth="1"/>
    <col min="1295" max="1295" width="4.640625" style="194" customWidth="1"/>
    <col min="1296" max="1296" width="4.35546875" style="194" customWidth="1"/>
    <col min="1297" max="1297" width="4" style="194" customWidth="1"/>
    <col min="1298" max="1298" width="3" style="194" customWidth="1"/>
    <col min="1299" max="1299" width="3.85546875" style="194" customWidth="1"/>
    <col min="1300" max="1300" width="4.35546875" style="194" customWidth="1"/>
    <col min="1301" max="1301" width="3.35546875" style="194" customWidth="1"/>
    <col min="1302" max="1302" width="4.85546875" style="194" customWidth="1"/>
    <col min="1303" max="1303" width="10.640625" style="194" customWidth="1"/>
    <col min="1304" max="1304" width="7.140625" style="194" customWidth="1"/>
    <col min="1305" max="1305" width="8.140625" style="194" customWidth="1"/>
    <col min="1306" max="1306" width="7.640625" style="194" customWidth="1"/>
    <col min="1307" max="1308" width="7.7109375" style="194" customWidth="1"/>
    <col min="1309" max="1309" width="7.140625" style="194" customWidth="1"/>
    <col min="1310" max="1535" width="9.140625" style="194"/>
    <col min="1536" max="1536" width="4.35546875" style="194" customWidth="1"/>
    <col min="1537" max="1537" width="20.640625" style="194" customWidth="1"/>
    <col min="1538" max="1538" width="12.35546875" style="194" customWidth="1"/>
    <col min="1539" max="1539" width="12.640625" style="194" customWidth="1"/>
    <col min="1540" max="1540" width="3.85546875" style="194" customWidth="1"/>
    <col min="1541" max="1541" width="4.2109375" style="194" customWidth="1"/>
    <col min="1542" max="1542" width="4.140625" style="194" customWidth="1"/>
    <col min="1543" max="1543" width="4" style="194" customWidth="1"/>
    <col min="1544" max="1544" width="16.35546875" style="194" customWidth="1"/>
    <col min="1545" max="1545" width="5.640625" style="194" customWidth="1"/>
    <col min="1546" max="1546" width="8.7109375" style="194" customWidth="1"/>
    <col min="1547" max="1547" width="5.35546875" style="194" customWidth="1"/>
    <col min="1548" max="1548" width="4.35546875" style="194" customWidth="1"/>
    <col min="1549" max="1549" width="4.2109375" style="194" customWidth="1"/>
    <col min="1550" max="1550" width="3.140625" style="194" customWidth="1"/>
    <col min="1551" max="1551" width="4.640625" style="194" customWidth="1"/>
    <col min="1552" max="1552" width="4.35546875" style="194" customWidth="1"/>
    <col min="1553" max="1553" width="4" style="194" customWidth="1"/>
    <col min="1554" max="1554" width="3" style="194" customWidth="1"/>
    <col min="1555" max="1555" width="3.85546875" style="194" customWidth="1"/>
    <col min="1556" max="1556" width="4.35546875" style="194" customWidth="1"/>
    <col min="1557" max="1557" width="3.35546875" style="194" customWidth="1"/>
    <col min="1558" max="1558" width="4.85546875" style="194" customWidth="1"/>
    <col min="1559" max="1559" width="10.640625" style="194" customWidth="1"/>
    <col min="1560" max="1560" width="7.140625" style="194" customWidth="1"/>
    <col min="1561" max="1561" width="8.140625" style="194" customWidth="1"/>
    <col min="1562" max="1562" width="7.640625" style="194" customWidth="1"/>
    <col min="1563" max="1564" width="7.7109375" style="194" customWidth="1"/>
    <col min="1565" max="1565" width="7.140625" style="194" customWidth="1"/>
    <col min="1566" max="1791" width="9.140625" style="194"/>
    <col min="1792" max="1792" width="4.35546875" style="194" customWidth="1"/>
    <col min="1793" max="1793" width="20.640625" style="194" customWidth="1"/>
    <col min="1794" max="1794" width="12.35546875" style="194" customWidth="1"/>
    <col min="1795" max="1795" width="12.640625" style="194" customWidth="1"/>
    <col min="1796" max="1796" width="3.85546875" style="194" customWidth="1"/>
    <col min="1797" max="1797" width="4.2109375" style="194" customWidth="1"/>
    <col min="1798" max="1798" width="4.140625" style="194" customWidth="1"/>
    <col min="1799" max="1799" width="4" style="194" customWidth="1"/>
    <col min="1800" max="1800" width="16.35546875" style="194" customWidth="1"/>
    <col min="1801" max="1801" width="5.640625" style="194" customWidth="1"/>
    <col min="1802" max="1802" width="8.7109375" style="194" customWidth="1"/>
    <col min="1803" max="1803" width="5.35546875" style="194" customWidth="1"/>
    <col min="1804" max="1804" width="4.35546875" style="194" customWidth="1"/>
    <col min="1805" max="1805" width="4.2109375" style="194" customWidth="1"/>
    <col min="1806" max="1806" width="3.140625" style="194" customWidth="1"/>
    <col min="1807" max="1807" width="4.640625" style="194" customWidth="1"/>
    <col min="1808" max="1808" width="4.35546875" style="194" customWidth="1"/>
    <col min="1809" max="1809" width="4" style="194" customWidth="1"/>
    <col min="1810" max="1810" width="3" style="194" customWidth="1"/>
    <col min="1811" max="1811" width="3.85546875" style="194" customWidth="1"/>
    <col min="1812" max="1812" width="4.35546875" style="194" customWidth="1"/>
    <col min="1813" max="1813" width="3.35546875" style="194" customWidth="1"/>
    <col min="1814" max="1814" width="4.85546875" style="194" customWidth="1"/>
    <col min="1815" max="1815" width="10.640625" style="194" customWidth="1"/>
    <col min="1816" max="1816" width="7.140625" style="194" customWidth="1"/>
    <col min="1817" max="1817" width="8.140625" style="194" customWidth="1"/>
    <col min="1818" max="1818" width="7.640625" style="194" customWidth="1"/>
    <col min="1819" max="1820" width="7.7109375" style="194" customWidth="1"/>
    <col min="1821" max="1821" width="7.140625" style="194" customWidth="1"/>
    <col min="1822" max="2047" width="9.140625" style="194"/>
    <col min="2048" max="2048" width="4.35546875" style="194" customWidth="1"/>
    <col min="2049" max="2049" width="20.640625" style="194" customWidth="1"/>
    <col min="2050" max="2050" width="12.35546875" style="194" customWidth="1"/>
    <col min="2051" max="2051" width="12.640625" style="194" customWidth="1"/>
    <col min="2052" max="2052" width="3.85546875" style="194" customWidth="1"/>
    <col min="2053" max="2053" width="4.2109375" style="194" customWidth="1"/>
    <col min="2054" max="2054" width="4.140625" style="194" customWidth="1"/>
    <col min="2055" max="2055" width="4" style="194" customWidth="1"/>
    <col min="2056" max="2056" width="16.35546875" style="194" customWidth="1"/>
    <col min="2057" max="2057" width="5.640625" style="194" customWidth="1"/>
    <col min="2058" max="2058" width="8.7109375" style="194" customWidth="1"/>
    <col min="2059" max="2059" width="5.35546875" style="194" customWidth="1"/>
    <col min="2060" max="2060" width="4.35546875" style="194" customWidth="1"/>
    <col min="2061" max="2061" width="4.2109375" style="194" customWidth="1"/>
    <col min="2062" max="2062" width="3.140625" style="194" customWidth="1"/>
    <col min="2063" max="2063" width="4.640625" style="194" customWidth="1"/>
    <col min="2064" max="2064" width="4.35546875" style="194" customWidth="1"/>
    <col min="2065" max="2065" width="4" style="194" customWidth="1"/>
    <col min="2066" max="2066" width="3" style="194" customWidth="1"/>
    <col min="2067" max="2067" width="3.85546875" style="194" customWidth="1"/>
    <col min="2068" max="2068" width="4.35546875" style="194" customWidth="1"/>
    <col min="2069" max="2069" width="3.35546875" style="194" customWidth="1"/>
    <col min="2070" max="2070" width="4.85546875" style="194" customWidth="1"/>
    <col min="2071" max="2071" width="10.640625" style="194" customWidth="1"/>
    <col min="2072" max="2072" width="7.140625" style="194" customWidth="1"/>
    <col min="2073" max="2073" width="8.140625" style="194" customWidth="1"/>
    <col min="2074" max="2074" width="7.640625" style="194" customWidth="1"/>
    <col min="2075" max="2076" width="7.7109375" style="194" customWidth="1"/>
    <col min="2077" max="2077" width="7.140625" style="194" customWidth="1"/>
    <col min="2078" max="2303" width="9.140625" style="194"/>
    <col min="2304" max="2304" width="4.35546875" style="194" customWidth="1"/>
    <col min="2305" max="2305" width="20.640625" style="194" customWidth="1"/>
    <col min="2306" max="2306" width="12.35546875" style="194" customWidth="1"/>
    <col min="2307" max="2307" width="12.640625" style="194" customWidth="1"/>
    <col min="2308" max="2308" width="3.85546875" style="194" customWidth="1"/>
    <col min="2309" max="2309" width="4.2109375" style="194" customWidth="1"/>
    <col min="2310" max="2310" width="4.140625" style="194" customWidth="1"/>
    <col min="2311" max="2311" width="4" style="194" customWidth="1"/>
    <col min="2312" max="2312" width="16.35546875" style="194" customWidth="1"/>
    <col min="2313" max="2313" width="5.640625" style="194" customWidth="1"/>
    <col min="2314" max="2314" width="8.7109375" style="194" customWidth="1"/>
    <col min="2315" max="2315" width="5.35546875" style="194" customWidth="1"/>
    <col min="2316" max="2316" width="4.35546875" style="194" customWidth="1"/>
    <col min="2317" max="2317" width="4.2109375" style="194" customWidth="1"/>
    <col min="2318" max="2318" width="3.140625" style="194" customWidth="1"/>
    <col min="2319" max="2319" width="4.640625" style="194" customWidth="1"/>
    <col min="2320" max="2320" width="4.35546875" style="194" customWidth="1"/>
    <col min="2321" max="2321" width="4" style="194" customWidth="1"/>
    <col min="2322" max="2322" width="3" style="194" customWidth="1"/>
    <col min="2323" max="2323" width="3.85546875" style="194" customWidth="1"/>
    <col min="2324" max="2324" width="4.35546875" style="194" customWidth="1"/>
    <col min="2325" max="2325" width="3.35546875" style="194" customWidth="1"/>
    <col min="2326" max="2326" width="4.85546875" style="194" customWidth="1"/>
    <col min="2327" max="2327" width="10.640625" style="194" customWidth="1"/>
    <col min="2328" max="2328" width="7.140625" style="194" customWidth="1"/>
    <col min="2329" max="2329" width="8.140625" style="194" customWidth="1"/>
    <col min="2330" max="2330" width="7.640625" style="194" customWidth="1"/>
    <col min="2331" max="2332" width="7.7109375" style="194" customWidth="1"/>
    <col min="2333" max="2333" width="7.140625" style="194" customWidth="1"/>
    <col min="2334" max="2559" width="9.140625" style="194"/>
    <col min="2560" max="2560" width="4.35546875" style="194" customWidth="1"/>
    <col min="2561" max="2561" width="20.640625" style="194" customWidth="1"/>
    <col min="2562" max="2562" width="12.35546875" style="194" customWidth="1"/>
    <col min="2563" max="2563" width="12.640625" style="194" customWidth="1"/>
    <col min="2564" max="2564" width="3.85546875" style="194" customWidth="1"/>
    <col min="2565" max="2565" width="4.2109375" style="194" customWidth="1"/>
    <col min="2566" max="2566" width="4.140625" style="194" customWidth="1"/>
    <col min="2567" max="2567" width="4" style="194" customWidth="1"/>
    <col min="2568" max="2568" width="16.35546875" style="194" customWidth="1"/>
    <col min="2569" max="2569" width="5.640625" style="194" customWidth="1"/>
    <col min="2570" max="2570" width="8.7109375" style="194" customWidth="1"/>
    <col min="2571" max="2571" width="5.35546875" style="194" customWidth="1"/>
    <col min="2572" max="2572" width="4.35546875" style="194" customWidth="1"/>
    <col min="2573" max="2573" width="4.2109375" style="194" customWidth="1"/>
    <col min="2574" max="2574" width="3.140625" style="194" customWidth="1"/>
    <col min="2575" max="2575" width="4.640625" style="194" customWidth="1"/>
    <col min="2576" max="2576" width="4.35546875" style="194" customWidth="1"/>
    <col min="2577" max="2577" width="4" style="194" customWidth="1"/>
    <col min="2578" max="2578" width="3" style="194" customWidth="1"/>
    <col min="2579" max="2579" width="3.85546875" style="194" customWidth="1"/>
    <col min="2580" max="2580" width="4.35546875" style="194" customWidth="1"/>
    <col min="2581" max="2581" width="3.35546875" style="194" customWidth="1"/>
    <col min="2582" max="2582" width="4.85546875" style="194" customWidth="1"/>
    <col min="2583" max="2583" width="10.640625" style="194" customWidth="1"/>
    <col min="2584" max="2584" width="7.140625" style="194" customWidth="1"/>
    <col min="2585" max="2585" width="8.140625" style="194" customWidth="1"/>
    <col min="2586" max="2586" width="7.640625" style="194" customWidth="1"/>
    <col min="2587" max="2588" width="7.7109375" style="194" customWidth="1"/>
    <col min="2589" max="2589" width="7.140625" style="194" customWidth="1"/>
    <col min="2590" max="2815" width="9.140625" style="194"/>
    <col min="2816" max="2816" width="4.35546875" style="194" customWidth="1"/>
    <col min="2817" max="2817" width="20.640625" style="194" customWidth="1"/>
    <col min="2818" max="2818" width="12.35546875" style="194" customWidth="1"/>
    <col min="2819" max="2819" width="12.640625" style="194" customWidth="1"/>
    <col min="2820" max="2820" width="3.85546875" style="194" customWidth="1"/>
    <col min="2821" max="2821" width="4.2109375" style="194" customWidth="1"/>
    <col min="2822" max="2822" width="4.140625" style="194" customWidth="1"/>
    <col min="2823" max="2823" width="4" style="194" customWidth="1"/>
    <col min="2824" max="2824" width="16.35546875" style="194" customWidth="1"/>
    <col min="2825" max="2825" width="5.640625" style="194" customWidth="1"/>
    <col min="2826" max="2826" width="8.7109375" style="194" customWidth="1"/>
    <col min="2827" max="2827" width="5.35546875" style="194" customWidth="1"/>
    <col min="2828" max="2828" width="4.35546875" style="194" customWidth="1"/>
    <col min="2829" max="2829" width="4.2109375" style="194" customWidth="1"/>
    <col min="2830" max="2830" width="3.140625" style="194" customWidth="1"/>
    <col min="2831" max="2831" width="4.640625" style="194" customWidth="1"/>
    <col min="2832" max="2832" width="4.35546875" style="194" customWidth="1"/>
    <col min="2833" max="2833" width="4" style="194" customWidth="1"/>
    <col min="2834" max="2834" width="3" style="194" customWidth="1"/>
    <col min="2835" max="2835" width="3.85546875" style="194" customWidth="1"/>
    <col min="2836" max="2836" width="4.35546875" style="194" customWidth="1"/>
    <col min="2837" max="2837" width="3.35546875" style="194" customWidth="1"/>
    <col min="2838" max="2838" width="4.85546875" style="194" customWidth="1"/>
    <col min="2839" max="2839" width="10.640625" style="194" customWidth="1"/>
    <col min="2840" max="2840" width="7.140625" style="194" customWidth="1"/>
    <col min="2841" max="2841" width="8.140625" style="194" customWidth="1"/>
    <col min="2842" max="2842" width="7.640625" style="194" customWidth="1"/>
    <col min="2843" max="2844" width="7.7109375" style="194" customWidth="1"/>
    <col min="2845" max="2845" width="7.140625" style="194" customWidth="1"/>
    <col min="2846" max="3071" width="9.140625" style="194"/>
    <col min="3072" max="3072" width="4.35546875" style="194" customWidth="1"/>
    <col min="3073" max="3073" width="20.640625" style="194" customWidth="1"/>
    <col min="3074" max="3074" width="12.35546875" style="194" customWidth="1"/>
    <col min="3075" max="3075" width="12.640625" style="194" customWidth="1"/>
    <col min="3076" max="3076" width="3.85546875" style="194" customWidth="1"/>
    <col min="3077" max="3077" width="4.2109375" style="194" customWidth="1"/>
    <col min="3078" max="3078" width="4.140625" style="194" customWidth="1"/>
    <col min="3079" max="3079" width="4" style="194" customWidth="1"/>
    <col min="3080" max="3080" width="16.35546875" style="194" customWidth="1"/>
    <col min="3081" max="3081" width="5.640625" style="194" customWidth="1"/>
    <col min="3082" max="3082" width="8.7109375" style="194" customWidth="1"/>
    <col min="3083" max="3083" width="5.35546875" style="194" customWidth="1"/>
    <col min="3084" max="3084" width="4.35546875" style="194" customWidth="1"/>
    <col min="3085" max="3085" width="4.2109375" style="194" customWidth="1"/>
    <col min="3086" max="3086" width="3.140625" style="194" customWidth="1"/>
    <col min="3087" max="3087" width="4.640625" style="194" customWidth="1"/>
    <col min="3088" max="3088" width="4.35546875" style="194" customWidth="1"/>
    <col min="3089" max="3089" width="4" style="194" customWidth="1"/>
    <col min="3090" max="3090" width="3" style="194" customWidth="1"/>
    <col min="3091" max="3091" width="3.85546875" style="194" customWidth="1"/>
    <col min="3092" max="3092" width="4.35546875" style="194" customWidth="1"/>
    <col min="3093" max="3093" width="3.35546875" style="194" customWidth="1"/>
    <col min="3094" max="3094" width="4.85546875" style="194" customWidth="1"/>
    <col min="3095" max="3095" width="10.640625" style="194" customWidth="1"/>
    <col min="3096" max="3096" width="7.140625" style="194" customWidth="1"/>
    <col min="3097" max="3097" width="8.140625" style="194" customWidth="1"/>
    <col min="3098" max="3098" width="7.640625" style="194" customWidth="1"/>
    <col min="3099" max="3100" width="7.7109375" style="194" customWidth="1"/>
    <col min="3101" max="3101" width="7.140625" style="194" customWidth="1"/>
    <col min="3102" max="3327" width="9.140625" style="194"/>
    <col min="3328" max="3328" width="4.35546875" style="194" customWidth="1"/>
    <col min="3329" max="3329" width="20.640625" style="194" customWidth="1"/>
    <col min="3330" max="3330" width="12.35546875" style="194" customWidth="1"/>
    <col min="3331" max="3331" width="12.640625" style="194" customWidth="1"/>
    <col min="3332" max="3332" width="3.85546875" style="194" customWidth="1"/>
    <col min="3333" max="3333" width="4.2109375" style="194" customWidth="1"/>
    <col min="3334" max="3334" width="4.140625" style="194" customWidth="1"/>
    <col min="3335" max="3335" width="4" style="194" customWidth="1"/>
    <col min="3336" max="3336" width="16.35546875" style="194" customWidth="1"/>
    <col min="3337" max="3337" width="5.640625" style="194" customWidth="1"/>
    <col min="3338" max="3338" width="8.7109375" style="194" customWidth="1"/>
    <col min="3339" max="3339" width="5.35546875" style="194" customWidth="1"/>
    <col min="3340" max="3340" width="4.35546875" style="194" customWidth="1"/>
    <col min="3341" max="3341" width="4.2109375" style="194" customWidth="1"/>
    <col min="3342" max="3342" width="3.140625" style="194" customWidth="1"/>
    <col min="3343" max="3343" width="4.640625" style="194" customWidth="1"/>
    <col min="3344" max="3344" width="4.35546875" style="194" customWidth="1"/>
    <col min="3345" max="3345" width="4" style="194" customWidth="1"/>
    <col min="3346" max="3346" width="3" style="194" customWidth="1"/>
    <col min="3347" max="3347" width="3.85546875" style="194" customWidth="1"/>
    <col min="3348" max="3348" width="4.35546875" style="194" customWidth="1"/>
    <col min="3349" max="3349" width="3.35546875" style="194" customWidth="1"/>
    <col min="3350" max="3350" width="4.85546875" style="194" customWidth="1"/>
    <col min="3351" max="3351" width="10.640625" style="194" customWidth="1"/>
    <col min="3352" max="3352" width="7.140625" style="194" customWidth="1"/>
    <col min="3353" max="3353" width="8.140625" style="194" customWidth="1"/>
    <col min="3354" max="3354" width="7.640625" style="194" customWidth="1"/>
    <col min="3355" max="3356" width="7.7109375" style="194" customWidth="1"/>
    <col min="3357" max="3357" width="7.140625" style="194" customWidth="1"/>
    <col min="3358" max="3583" width="9.140625" style="194"/>
    <col min="3584" max="3584" width="4.35546875" style="194" customWidth="1"/>
    <col min="3585" max="3585" width="20.640625" style="194" customWidth="1"/>
    <col min="3586" max="3586" width="12.35546875" style="194" customWidth="1"/>
    <col min="3587" max="3587" width="12.640625" style="194" customWidth="1"/>
    <col min="3588" max="3588" width="3.85546875" style="194" customWidth="1"/>
    <col min="3589" max="3589" width="4.2109375" style="194" customWidth="1"/>
    <col min="3590" max="3590" width="4.140625" style="194" customWidth="1"/>
    <col min="3591" max="3591" width="4" style="194" customWidth="1"/>
    <col min="3592" max="3592" width="16.35546875" style="194" customWidth="1"/>
    <col min="3593" max="3593" width="5.640625" style="194" customWidth="1"/>
    <col min="3594" max="3594" width="8.7109375" style="194" customWidth="1"/>
    <col min="3595" max="3595" width="5.35546875" style="194" customWidth="1"/>
    <col min="3596" max="3596" width="4.35546875" style="194" customWidth="1"/>
    <col min="3597" max="3597" width="4.2109375" style="194" customWidth="1"/>
    <col min="3598" max="3598" width="3.140625" style="194" customWidth="1"/>
    <col min="3599" max="3599" width="4.640625" style="194" customWidth="1"/>
    <col min="3600" max="3600" width="4.35546875" style="194" customWidth="1"/>
    <col min="3601" max="3601" width="4" style="194" customWidth="1"/>
    <col min="3602" max="3602" width="3" style="194" customWidth="1"/>
    <col min="3603" max="3603" width="3.85546875" style="194" customWidth="1"/>
    <col min="3604" max="3604" width="4.35546875" style="194" customWidth="1"/>
    <col min="3605" max="3605" width="3.35546875" style="194" customWidth="1"/>
    <col min="3606" max="3606" width="4.85546875" style="194" customWidth="1"/>
    <col min="3607" max="3607" width="10.640625" style="194" customWidth="1"/>
    <col min="3608" max="3608" width="7.140625" style="194" customWidth="1"/>
    <col min="3609" max="3609" width="8.140625" style="194" customWidth="1"/>
    <col min="3610" max="3610" width="7.640625" style="194" customWidth="1"/>
    <col min="3611" max="3612" width="7.7109375" style="194" customWidth="1"/>
    <col min="3613" max="3613" width="7.140625" style="194" customWidth="1"/>
    <col min="3614" max="3839" width="9.140625" style="194"/>
    <col min="3840" max="3840" width="4.35546875" style="194" customWidth="1"/>
    <col min="3841" max="3841" width="20.640625" style="194" customWidth="1"/>
    <col min="3842" max="3842" width="12.35546875" style="194" customWidth="1"/>
    <col min="3843" max="3843" width="12.640625" style="194" customWidth="1"/>
    <col min="3844" max="3844" width="3.85546875" style="194" customWidth="1"/>
    <col min="3845" max="3845" width="4.2109375" style="194" customWidth="1"/>
    <col min="3846" max="3846" width="4.140625" style="194" customWidth="1"/>
    <col min="3847" max="3847" width="4" style="194" customWidth="1"/>
    <col min="3848" max="3848" width="16.35546875" style="194" customWidth="1"/>
    <col min="3849" max="3849" width="5.640625" style="194" customWidth="1"/>
    <col min="3850" max="3850" width="8.7109375" style="194" customWidth="1"/>
    <col min="3851" max="3851" width="5.35546875" style="194" customWidth="1"/>
    <col min="3852" max="3852" width="4.35546875" style="194" customWidth="1"/>
    <col min="3853" max="3853" width="4.2109375" style="194" customWidth="1"/>
    <col min="3854" max="3854" width="3.140625" style="194" customWidth="1"/>
    <col min="3855" max="3855" width="4.640625" style="194" customWidth="1"/>
    <col min="3856" max="3856" width="4.35546875" style="194" customWidth="1"/>
    <col min="3857" max="3857" width="4" style="194" customWidth="1"/>
    <col min="3858" max="3858" width="3" style="194" customWidth="1"/>
    <col min="3859" max="3859" width="3.85546875" style="194" customWidth="1"/>
    <col min="3860" max="3860" width="4.35546875" style="194" customWidth="1"/>
    <col min="3861" max="3861" width="3.35546875" style="194" customWidth="1"/>
    <col min="3862" max="3862" width="4.85546875" style="194" customWidth="1"/>
    <col min="3863" max="3863" width="10.640625" style="194" customWidth="1"/>
    <col min="3864" max="3864" width="7.140625" style="194" customWidth="1"/>
    <col min="3865" max="3865" width="8.140625" style="194" customWidth="1"/>
    <col min="3866" max="3866" width="7.640625" style="194" customWidth="1"/>
    <col min="3867" max="3868" width="7.7109375" style="194" customWidth="1"/>
    <col min="3869" max="3869" width="7.140625" style="194" customWidth="1"/>
    <col min="3870" max="4095" width="9.140625" style="194"/>
    <col min="4096" max="4096" width="4.35546875" style="194" customWidth="1"/>
    <col min="4097" max="4097" width="20.640625" style="194" customWidth="1"/>
    <col min="4098" max="4098" width="12.35546875" style="194" customWidth="1"/>
    <col min="4099" max="4099" width="12.640625" style="194" customWidth="1"/>
    <col min="4100" max="4100" width="3.85546875" style="194" customWidth="1"/>
    <col min="4101" max="4101" width="4.2109375" style="194" customWidth="1"/>
    <col min="4102" max="4102" width="4.140625" style="194" customWidth="1"/>
    <col min="4103" max="4103" width="4" style="194" customWidth="1"/>
    <col min="4104" max="4104" width="16.35546875" style="194" customWidth="1"/>
    <col min="4105" max="4105" width="5.640625" style="194" customWidth="1"/>
    <col min="4106" max="4106" width="8.7109375" style="194" customWidth="1"/>
    <col min="4107" max="4107" width="5.35546875" style="194" customWidth="1"/>
    <col min="4108" max="4108" width="4.35546875" style="194" customWidth="1"/>
    <col min="4109" max="4109" width="4.2109375" style="194" customWidth="1"/>
    <col min="4110" max="4110" width="3.140625" style="194" customWidth="1"/>
    <col min="4111" max="4111" width="4.640625" style="194" customWidth="1"/>
    <col min="4112" max="4112" width="4.35546875" style="194" customWidth="1"/>
    <col min="4113" max="4113" width="4" style="194" customWidth="1"/>
    <col min="4114" max="4114" width="3" style="194" customWidth="1"/>
    <col min="4115" max="4115" width="3.85546875" style="194" customWidth="1"/>
    <col min="4116" max="4116" width="4.35546875" style="194" customWidth="1"/>
    <col min="4117" max="4117" width="3.35546875" style="194" customWidth="1"/>
    <col min="4118" max="4118" width="4.85546875" style="194" customWidth="1"/>
    <col min="4119" max="4119" width="10.640625" style="194" customWidth="1"/>
    <col min="4120" max="4120" width="7.140625" style="194" customWidth="1"/>
    <col min="4121" max="4121" width="8.140625" style="194" customWidth="1"/>
    <col min="4122" max="4122" width="7.640625" style="194" customWidth="1"/>
    <col min="4123" max="4124" width="7.7109375" style="194" customWidth="1"/>
    <col min="4125" max="4125" width="7.140625" style="194" customWidth="1"/>
    <col min="4126" max="4351" width="9.140625" style="194"/>
    <col min="4352" max="4352" width="4.35546875" style="194" customWidth="1"/>
    <col min="4353" max="4353" width="20.640625" style="194" customWidth="1"/>
    <col min="4354" max="4354" width="12.35546875" style="194" customWidth="1"/>
    <col min="4355" max="4355" width="12.640625" style="194" customWidth="1"/>
    <col min="4356" max="4356" width="3.85546875" style="194" customWidth="1"/>
    <col min="4357" max="4357" width="4.2109375" style="194" customWidth="1"/>
    <col min="4358" max="4358" width="4.140625" style="194" customWidth="1"/>
    <col min="4359" max="4359" width="4" style="194" customWidth="1"/>
    <col min="4360" max="4360" width="16.35546875" style="194" customWidth="1"/>
    <col min="4361" max="4361" width="5.640625" style="194" customWidth="1"/>
    <col min="4362" max="4362" width="8.7109375" style="194" customWidth="1"/>
    <col min="4363" max="4363" width="5.35546875" style="194" customWidth="1"/>
    <col min="4364" max="4364" width="4.35546875" style="194" customWidth="1"/>
    <col min="4365" max="4365" width="4.2109375" style="194" customWidth="1"/>
    <col min="4366" max="4366" width="3.140625" style="194" customWidth="1"/>
    <col min="4367" max="4367" width="4.640625" style="194" customWidth="1"/>
    <col min="4368" max="4368" width="4.35546875" style="194" customWidth="1"/>
    <col min="4369" max="4369" width="4" style="194" customWidth="1"/>
    <col min="4370" max="4370" width="3" style="194" customWidth="1"/>
    <col min="4371" max="4371" width="3.85546875" style="194" customWidth="1"/>
    <col min="4372" max="4372" width="4.35546875" style="194" customWidth="1"/>
    <col min="4373" max="4373" width="3.35546875" style="194" customWidth="1"/>
    <col min="4374" max="4374" width="4.85546875" style="194" customWidth="1"/>
    <col min="4375" max="4375" width="10.640625" style="194" customWidth="1"/>
    <col min="4376" max="4376" width="7.140625" style="194" customWidth="1"/>
    <col min="4377" max="4377" width="8.140625" style="194" customWidth="1"/>
    <col min="4378" max="4378" width="7.640625" style="194" customWidth="1"/>
    <col min="4379" max="4380" width="7.7109375" style="194" customWidth="1"/>
    <col min="4381" max="4381" width="7.140625" style="194" customWidth="1"/>
    <col min="4382" max="4607" width="9.140625" style="194"/>
    <col min="4608" max="4608" width="4.35546875" style="194" customWidth="1"/>
    <col min="4609" max="4609" width="20.640625" style="194" customWidth="1"/>
    <col min="4610" max="4610" width="12.35546875" style="194" customWidth="1"/>
    <col min="4611" max="4611" width="12.640625" style="194" customWidth="1"/>
    <col min="4612" max="4612" width="3.85546875" style="194" customWidth="1"/>
    <col min="4613" max="4613" width="4.2109375" style="194" customWidth="1"/>
    <col min="4614" max="4614" width="4.140625" style="194" customWidth="1"/>
    <col min="4615" max="4615" width="4" style="194" customWidth="1"/>
    <col min="4616" max="4616" width="16.35546875" style="194" customWidth="1"/>
    <col min="4617" max="4617" width="5.640625" style="194" customWidth="1"/>
    <col min="4618" max="4618" width="8.7109375" style="194" customWidth="1"/>
    <col min="4619" max="4619" width="5.35546875" style="194" customWidth="1"/>
    <col min="4620" max="4620" width="4.35546875" style="194" customWidth="1"/>
    <col min="4621" max="4621" width="4.2109375" style="194" customWidth="1"/>
    <col min="4622" max="4622" width="3.140625" style="194" customWidth="1"/>
    <col min="4623" max="4623" width="4.640625" style="194" customWidth="1"/>
    <col min="4624" max="4624" width="4.35546875" style="194" customWidth="1"/>
    <col min="4625" max="4625" width="4" style="194" customWidth="1"/>
    <col min="4626" max="4626" width="3" style="194" customWidth="1"/>
    <col min="4627" max="4627" width="3.85546875" style="194" customWidth="1"/>
    <col min="4628" max="4628" width="4.35546875" style="194" customWidth="1"/>
    <col min="4629" max="4629" width="3.35546875" style="194" customWidth="1"/>
    <col min="4630" max="4630" width="4.85546875" style="194" customWidth="1"/>
    <col min="4631" max="4631" width="10.640625" style="194" customWidth="1"/>
    <col min="4632" max="4632" width="7.140625" style="194" customWidth="1"/>
    <col min="4633" max="4633" width="8.140625" style="194" customWidth="1"/>
    <col min="4634" max="4634" width="7.640625" style="194" customWidth="1"/>
    <col min="4635" max="4636" width="7.7109375" style="194" customWidth="1"/>
    <col min="4637" max="4637" width="7.140625" style="194" customWidth="1"/>
    <col min="4638" max="4863" width="9.140625" style="194"/>
    <col min="4864" max="4864" width="4.35546875" style="194" customWidth="1"/>
    <col min="4865" max="4865" width="20.640625" style="194" customWidth="1"/>
    <col min="4866" max="4866" width="12.35546875" style="194" customWidth="1"/>
    <col min="4867" max="4867" width="12.640625" style="194" customWidth="1"/>
    <col min="4868" max="4868" width="3.85546875" style="194" customWidth="1"/>
    <col min="4869" max="4869" width="4.2109375" style="194" customWidth="1"/>
    <col min="4870" max="4870" width="4.140625" style="194" customWidth="1"/>
    <col min="4871" max="4871" width="4" style="194" customWidth="1"/>
    <col min="4872" max="4872" width="16.35546875" style="194" customWidth="1"/>
    <col min="4873" max="4873" width="5.640625" style="194" customWidth="1"/>
    <col min="4874" max="4874" width="8.7109375" style="194" customWidth="1"/>
    <col min="4875" max="4875" width="5.35546875" style="194" customWidth="1"/>
    <col min="4876" max="4876" width="4.35546875" style="194" customWidth="1"/>
    <col min="4877" max="4877" width="4.2109375" style="194" customWidth="1"/>
    <col min="4878" max="4878" width="3.140625" style="194" customWidth="1"/>
    <col min="4879" max="4879" width="4.640625" style="194" customWidth="1"/>
    <col min="4880" max="4880" width="4.35546875" style="194" customWidth="1"/>
    <col min="4881" max="4881" width="4" style="194" customWidth="1"/>
    <col min="4882" max="4882" width="3" style="194" customWidth="1"/>
    <col min="4883" max="4883" width="3.85546875" style="194" customWidth="1"/>
    <col min="4884" max="4884" width="4.35546875" style="194" customWidth="1"/>
    <col min="4885" max="4885" width="3.35546875" style="194" customWidth="1"/>
    <col min="4886" max="4886" width="4.85546875" style="194" customWidth="1"/>
    <col min="4887" max="4887" width="10.640625" style="194" customWidth="1"/>
    <col min="4888" max="4888" width="7.140625" style="194" customWidth="1"/>
    <col min="4889" max="4889" width="8.140625" style="194" customWidth="1"/>
    <col min="4890" max="4890" width="7.640625" style="194" customWidth="1"/>
    <col min="4891" max="4892" width="7.7109375" style="194" customWidth="1"/>
    <col min="4893" max="4893" width="7.140625" style="194" customWidth="1"/>
    <col min="4894" max="5119" width="9.140625" style="194"/>
    <col min="5120" max="5120" width="4.35546875" style="194" customWidth="1"/>
    <col min="5121" max="5121" width="20.640625" style="194" customWidth="1"/>
    <col min="5122" max="5122" width="12.35546875" style="194" customWidth="1"/>
    <col min="5123" max="5123" width="12.640625" style="194" customWidth="1"/>
    <col min="5124" max="5124" width="3.85546875" style="194" customWidth="1"/>
    <col min="5125" max="5125" width="4.2109375" style="194" customWidth="1"/>
    <col min="5126" max="5126" width="4.140625" style="194" customWidth="1"/>
    <col min="5127" max="5127" width="4" style="194" customWidth="1"/>
    <col min="5128" max="5128" width="16.35546875" style="194" customWidth="1"/>
    <col min="5129" max="5129" width="5.640625" style="194" customWidth="1"/>
    <col min="5130" max="5130" width="8.7109375" style="194" customWidth="1"/>
    <col min="5131" max="5131" width="5.35546875" style="194" customWidth="1"/>
    <col min="5132" max="5132" width="4.35546875" style="194" customWidth="1"/>
    <col min="5133" max="5133" width="4.2109375" style="194" customWidth="1"/>
    <col min="5134" max="5134" width="3.140625" style="194" customWidth="1"/>
    <col min="5135" max="5135" width="4.640625" style="194" customWidth="1"/>
    <col min="5136" max="5136" width="4.35546875" style="194" customWidth="1"/>
    <col min="5137" max="5137" width="4" style="194" customWidth="1"/>
    <col min="5138" max="5138" width="3" style="194" customWidth="1"/>
    <col min="5139" max="5139" width="3.85546875" style="194" customWidth="1"/>
    <col min="5140" max="5140" width="4.35546875" style="194" customWidth="1"/>
    <col min="5141" max="5141" width="3.35546875" style="194" customWidth="1"/>
    <col min="5142" max="5142" width="4.85546875" style="194" customWidth="1"/>
    <col min="5143" max="5143" width="10.640625" style="194" customWidth="1"/>
    <col min="5144" max="5144" width="7.140625" style="194" customWidth="1"/>
    <col min="5145" max="5145" width="8.140625" style="194" customWidth="1"/>
    <col min="5146" max="5146" width="7.640625" style="194" customWidth="1"/>
    <col min="5147" max="5148" width="7.7109375" style="194" customWidth="1"/>
    <col min="5149" max="5149" width="7.140625" style="194" customWidth="1"/>
    <col min="5150" max="5375" width="9.140625" style="194"/>
    <col min="5376" max="5376" width="4.35546875" style="194" customWidth="1"/>
    <col min="5377" max="5377" width="20.640625" style="194" customWidth="1"/>
    <col min="5378" max="5378" width="12.35546875" style="194" customWidth="1"/>
    <col min="5379" max="5379" width="12.640625" style="194" customWidth="1"/>
    <col min="5380" max="5380" width="3.85546875" style="194" customWidth="1"/>
    <col min="5381" max="5381" width="4.2109375" style="194" customWidth="1"/>
    <col min="5382" max="5382" width="4.140625" style="194" customWidth="1"/>
    <col min="5383" max="5383" width="4" style="194" customWidth="1"/>
    <col min="5384" max="5384" width="16.35546875" style="194" customWidth="1"/>
    <col min="5385" max="5385" width="5.640625" style="194" customWidth="1"/>
    <col min="5386" max="5386" width="8.7109375" style="194" customWidth="1"/>
    <col min="5387" max="5387" width="5.35546875" style="194" customWidth="1"/>
    <col min="5388" max="5388" width="4.35546875" style="194" customWidth="1"/>
    <col min="5389" max="5389" width="4.2109375" style="194" customWidth="1"/>
    <col min="5390" max="5390" width="3.140625" style="194" customWidth="1"/>
    <col min="5391" max="5391" width="4.640625" style="194" customWidth="1"/>
    <col min="5392" max="5392" width="4.35546875" style="194" customWidth="1"/>
    <col min="5393" max="5393" width="4" style="194" customWidth="1"/>
    <col min="5394" max="5394" width="3" style="194" customWidth="1"/>
    <col min="5395" max="5395" width="3.85546875" style="194" customWidth="1"/>
    <col min="5396" max="5396" width="4.35546875" style="194" customWidth="1"/>
    <col min="5397" max="5397" width="3.35546875" style="194" customWidth="1"/>
    <col min="5398" max="5398" width="4.85546875" style="194" customWidth="1"/>
    <col min="5399" max="5399" width="10.640625" style="194" customWidth="1"/>
    <col min="5400" max="5400" width="7.140625" style="194" customWidth="1"/>
    <col min="5401" max="5401" width="8.140625" style="194" customWidth="1"/>
    <col min="5402" max="5402" width="7.640625" style="194" customWidth="1"/>
    <col min="5403" max="5404" width="7.7109375" style="194" customWidth="1"/>
    <col min="5405" max="5405" width="7.140625" style="194" customWidth="1"/>
    <col min="5406" max="5631" width="9.140625" style="194"/>
    <col min="5632" max="5632" width="4.35546875" style="194" customWidth="1"/>
    <col min="5633" max="5633" width="20.640625" style="194" customWidth="1"/>
    <col min="5634" max="5634" width="12.35546875" style="194" customWidth="1"/>
    <col min="5635" max="5635" width="12.640625" style="194" customWidth="1"/>
    <col min="5636" max="5636" width="3.85546875" style="194" customWidth="1"/>
    <col min="5637" max="5637" width="4.2109375" style="194" customWidth="1"/>
    <col min="5638" max="5638" width="4.140625" style="194" customWidth="1"/>
    <col min="5639" max="5639" width="4" style="194" customWidth="1"/>
    <col min="5640" max="5640" width="16.35546875" style="194" customWidth="1"/>
    <col min="5641" max="5641" width="5.640625" style="194" customWidth="1"/>
    <col min="5642" max="5642" width="8.7109375" style="194" customWidth="1"/>
    <col min="5643" max="5643" width="5.35546875" style="194" customWidth="1"/>
    <col min="5644" max="5644" width="4.35546875" style="194" customWidth="1"/>
    <col min="5645" max="5645" width="4.2109375" style="194" customWidth="1"/>
    <col min="5646" max="5646" width="3.140625" style="194" customWidth="1"/>
    <col min="5647" max="5647" width="4.640625" style="194" customWidth="1"/>
    <col min="5648" max="5648" width="4.35546875" style="194" customWidth="1"/>
    <col min="5649" max="5649" width="4" style="194" customWidth="1"/>
    <col min="5650" max="5650" width="3" style="194" customWidth="1"/>
    <col min="5651" max="5651" width="3.85546875" style="194" customWidth="1"/>
    <col min="5652" max="5652" width="4.35546875" style="194" customWidth="1"/>
    <col min="5653" max="5653" width="3.35546875" style="194" customWidth="1"/>
    <col min="5654" max="5654" width="4.85546875" style="194" customWidth="1"/>
    <col min="5655" max="5655" width="10.640625" style="194" customWidth="1"/>
    <col min="5656" max="5656" width="7.140625" style="194" customWidth="1"/>
    <col min="5657" max="5657" width="8.140625" style="194" customWidth="1"/>
    <col min="5658" max="5658" width="7.640625" style="194" customWidth="1"/>
    <col min="5659" max="5660" width="7.7109375" style="194" customWidth="1"/>
    <col min="5661" max="5661" width="7.140625" style="194" customWidth="1"/>
    <col min="5662" max="5887" width="9.140625" style="194"/>
    <col min="5888" max="5888" width="4.35546875" style="194" customWidth="1"/>
    <col min="5889" max="5889" width="20.640625" style="194" customWidth="1"/>
    <col min="5890" max="5890" width="12.35546875" style="194" customWidth="1"/>
    <col min="5891" max="5891" width="12.640625" style="194" customWidth="1"/>
    <col min="5892" max="5892" width="3.85546875" style="194" customWidth="1"/>
    <col min="5893" max="5893" width="4.2109375" style="194" customWidth="1"/>
    <col min="5894" max="5894" width="4.140625" style="194" customWidth="1"/>
    <col min="5895" max="5895" width="4" style="194" customWidth="1"/>
    <col min="5896" max="5896" width="16.35546875" style="194" customWidth="1"/>
    <col min="5897" max="5897" width="5.640625" style="194" customWidth="1"/>
    <col min="5898" max="5898" width="8.7109375" style="194" customWidth="1"/>
    <col min="5899" max="5899" width="5.35546875" style="194" customWidth="1"/>
    <col min="5900" max="5900" width="4.35546875" style="194" customWidth="1"/>
    <col min="5901" max="5901" width="4.2109375" style="194" customWidth="1"/>
    <col min="5902" max="5902" width="3.140625" style="194" customWidth="1"/>
    <col min="5903" max="5903" width="4.640625" style="194" customWidth="1"/>
    <col min="5904" max="5904" width="4.35546875" style="194" customWidth="1"/>
    <col min="5905" max="5905" width="4" style="194" customWidth="1"/>
    <col min="5906" max="5906" width="3" style="194" customWidth="1"/>
    <col min="5907" max="5907" width="3.85546875" style="194" customWidth="1"/>
    <col min="5908" max="5908" width="4.35546875" style="194" customWidth="1"/>
    <col min="5909" max="5909" width="3.35546875" style="194" customWidth="1"/>
    <col min="5910" max="5910" width="4.85546875" style="194" customWidth="1"/>
    <col min="5911" max="5911" width="10.640625" style="194" customWidth="1"/>
    <col min="5912" max="5912" width="7.140625" style="194" customWidth="1"/>
    <col min="5913" max="5913" width="8.140625" style="194" customWidth="1"/>
    <col min="5914" max="5914" width="7.640625" style="194" customWidth="1"/>
    <col min="5915" max="5916" width="7.7109375" style="194" customWidth="1"/>
    <col min="5917" max="5917" width="7.140625" style="194" customWidth="1"/>
    <col min="5918" max="6143" width="9.140625" style="194"/>
    <col min="6144" max="6144" width="4.35546875" style="194" customWidth="1"/>
    <col min="6145" max="6145" width="20.640625" style="194" customWidth="1"/>
    <col min="6146" max="6146" width="12.35546875" style="194" customWidth="1"/>
    <col min="6147" max="6147" width="12.640625" style="194" customWidth="1"/>
    <col min="6148" max="6148" width="3.85546875" style="194" customWidth="1"/>
    <col min="6149" max="6149" width="4.2109375" style="194" customWidth="1"/>
    <col min="6150" max="6150" width="4.140625" style="194" customWidth="1"/>
    <col min="6151" max="6151" width="4" style="194" customWidth="1"/>
    <col min="6152" max="6152" width="16.35546875" style="194" customWidth="1"/>
    <col min="6153" max="6153" width="5.640625" style="194" customWidth="1"/>
    <col min="6154" max="6154" width="8.7109375" style="194" customWidth="1"/>
    <col min="6155" max="6155" width="5.35546875" style="194" customWidth="1"/>
    <col min="6156" max="6156" width="4.35546875" style="194" customWidth="1"/>
    <col min="6157" max="6157" width="4.2109375" style="194" customWidth="1"/>
    <col min="6158" max="6158" width="3.140625" style="194" customWidth="1"/>
    <col min="6159" max="6159" width="4.640625" style="194" customWidth="1"/>
    <col min="6160" max="6160" width="4.35546875" style="194" customWidth="1"/>
    <col min="6161" max="6161" width="4" style="194" customWidth="1"/>
    <col min="6162" max="6162" width="3" style="194" customWidth="1"/>
    <col min="6163" max="6163" width="3.85546875" style="194" customWidth="1"/>
    <col min="6164" max="6164" width="4.35546875" style="194" customWidth="1"/>
    <col min="6165" max="6165" width="3.35546875" style="194" customWidth="1"/>
    <col min="6166" max="6166" width="4.85546875" style="194" customWidth="1"/>
    <col min="6167" max="6167" width="10.640625" style="194" customWidth="1"/>
    <col min="6168" max="6168" width="7.140625" style="194" customWidth="1"/>
    <col min="6169" max="6169" width="8.140625" style="194" customWidth="1"/>
    <col min="6170" max="6170" width="7.640625" style="194" customWidth="1"/>
    <col min="6171" max="6172" width="7.7109375" style="194" customWidth="1"/>
    <col min="6173" max="6173" width="7.140625" style="194" customWidth="1"/>
    <col min="6174" max="6399" width="9.140625" style="194"/>
    <col min="6400" max="6400" width="4.35546875" style="194" customWidth="1"/>
    <col min="6401" max="6401" width="20.640625" style="194" customWidth="1"/>
    <col min="6402" max="6402" width="12.35546875" style="194" customWidth="1"/>
    <col min="6403" max="6403" width="12.640625" style="194" customWidth="1"/>
    <col min="6404" max="6404" width="3.85546875" style="194" customWidth="1"/>
    <col min="6405" max="6405" width="4.2109375" style="194" customWidth="1"/>
    <col min="6406" max="6406" width="4.140625" style="194" customWidth="1"/>
    <col min="6407" max="6407" width="4" style="194" customWidth="1"/>
    <col min="6408" max="6408" width="16.35546875" style="194" customWidth="1"/>
    <col min="6409" max="6409" width="5.640625" style="194" customWidth="1"/>
    <col min="6410" max="6410" width="8.7109375" style="194" customWidth="1"/>
    <col min="6411" max="6411" width="5.35546875" style="194" customWidth="1"/>
    <col min="6412" max="6412" width="4.35546875" style="194" customWidth="1"/>
    <col min="6413" max="6413" width="4.2109375" style="194" customWidth="1"/>
    <col min="6414" max="6414" width="3.140625" style="194" customWidth="1"/>
    <col min="6415" max="6415" width="4.640625" style="194" customWidth="1"/>
    <col min="6416" max="6416" width="4.35546875" style="194" customWidth="1"/>
    <col min="6417" max="6417" width="4" style="194" customWidth="1"/>
    <col min="6418" max="6418" width="3" style="194" customWidth="1"/>
    <col min="6419" max="6419" width="3.85546875" style="194" customWidth="1"/>
    <col min="6420" max="6420" width="4.35546875" style="194" customWidth="1"/>
    <col min="6421" max="6421" width="3.35546875" style="194" customWidth="1"/>
    <col min="6422" max="6422" width="4.85546875" style="194" customWidth="1"/>
    <col min="6423" max="6423" width="10.640625" style="194" customWidth="1"/>
    <col min="6424" max="6424" width="7.140625" style="194" customWidth="1"/>
    <col min="6425" max="6425" width="8.140625" style="194" customWidth="1"/>
    <col min="6426" max="6426" width="7.640625" style="194" customWidth="1"/>
    <col min="6427" max="6428" width="7.7109375" style="194" customWidth="1"/>
    <col min="6429" max="6429" width="7.140625" style="194" customWidth="1"/>
    <col min="6430" max="6655" width="9.140625" style="194"/>
    <col min="6656" max="6656" width="4.35546875" style="194" customWidth="1"/>
    <col min="6657" max="6657" width="20.640625" style="194" customWidth="1"/>
    <col min="6658" max="6658" width="12.35546875" style="194" customWidth="1"/>
    <col min="6659" max="6659" width="12.640625" style="194" customWidth="1"/>
    <col min="6660" max="6660" width="3.85546875" style="194" customWidth="1"/>
    <col min="6661" max="6661" width="4.2109375" style="194" customWidth="1"/>
    <col min="6662" max="6662" width="4.140625" style="194" customWidth="1"/>
    <col min="6663" max="6663" width="4" style="194" customWidth="1"/>
    <col min="6664" max="6664" width="16.35546875" style="194" customWidth="1"/>
    <col min="6665" max="6665" width="5.640625" style="194" customWidth="1"/>
    <col min="6666" max="6666" width="8.7109375" style="194" customWidth="1"/>
    <col min="6667" max="6667" width="5.35546875" style="194" customWidth="1"/>
    <col min="6668" max="6668" width="4.35546875" style="194" customWidth="1"/>
    <col min="6669" max="6669" width="4.2109375" style="194" customWidth="1"/>
    <col min="6670" max="6670" width="3.140625" style="194" customWidth="1"/>
    <col min="6671" max="6671" width="4.640625" style="194" customWidth="1"/>
    <col min="6672" max="6672" width="4.35546875" style="194" customWidth="1"/>
    <col min="6673" max="6673" width="4" style="194" customWidth="1"/>
    <col min="6674" max="6674" width="3" style="194" customWidth="1"/>
    <col min="6675" max="6675" width="3.85546875" style="194" customWidth="1"/>
    <col min="6676" max="6676" width="4.35546875" style="194" customWidth="1"/>
    <col min="6677" max="6677" width="3.35546875" style="194" customWidth="1"/>
    <col min="6678" max="6678" width="4.85546875" style="194" customWidth="1"/>
    <col min="6679" max="6679" width="10.640625" style="194" customWidth="1"/>
    <col min="6680" max="6680" width="7.140625" style="194" customWidth="1"/>
    <col min="6681" max="6681" width="8.140625" style="194" customWidth="1"/>
    <col min="6682" max="6682" width="7.640625" style="194" customWidth="1"/>
    <col min="6683" max="6684" width="7.7109375" style="194" customWidth="1"/>
    <col min="6685" max="6685" width="7.140625" style="194" customWidth="1"/>
    <col min="6686" max="6911" width="9.140625" style="194"/>
    <col min="6912" max="6912" width="4.35546875" style="194" customWidth="1"/>
    <col min="6913" max="6913" width="20.640625" style="194" customWidth="1"/>
    <col min="6914" max="6914" width="12.35546875" style="194" customWidth="1"/>
    <col min="6915" max="6915" width="12.640625" style="194" customWidth="1"/>
    <col min="6916" max="6916" width="3.85546875" style="194" customWidth="1"/>
    <col min="6917" max="6917" width="4.2109375" style="194" customWidth="1"/>
    <col min="6918" max="6918" width="4.140625" style="194" customWidth="1"/>
    <col min="6919" max="6919" width="4" style="194" customWidth="1"/>
    <col min="6920" max="6920" width="16.35546875" style="194" customWidth="1"/>
    <col min="6921" max="6921" width="5.640625" style="194" customWidth="1"/>
    <col min="6922" max="6922" width="8.7109375" style="194" customWidth="1"/>
    <col min="6923" max="6923" width="5.35546875" style="194" customWidth="1"/>
    <col min="6924" max="6924" width="4.35546875" style="194" customWidth="1"/>
    <col min="6925" max="6925" width="4.2109375" style="194" customWidth="1"/>
    <col min="6926" max="6926" width="3.140625" style="194" customWidth="1"/>
    <col min="6927" max="6927" width="4.640625" style="194" customWidth="1"/>
    <col min="6928" max="6928" width="4.35546875" style="194" customWidth="1"/>
    <col min="6929" max="6929" width="4" style="194" customWidth="1"/>
    <col min="6930" max="6930" width="3" style="194" customWidth="1"/>
    <col min="6931" max="6931" width="3.85546875" style="194" customWidth="1"/>
    <col min="6932" max="6932" width="4.35546875" style="194" customWidth="1"/>
    <col min="6933" max="6933" width="3.35546875" style="194" customWidth="1"/>
    <col min="6934" max="6934" width="4.85546875" style="194" customWidth="1"/>
    <col min="6935" max="6935" width="10.640625" style="194" customWidth="1"/>
    <col min="6936" max="6936" width="7.140625" style="194" customWidth="1"/>
    <col min="6937" max="6937" width="8.140625" style="194" customWidth="1"/>
    <col min="6938" max="6938" width="7.640625" style="194" customWidth="1"/>
    <col min="6939" max="6940" width="7.7109375" style="194" customWidth="1"/>
    <col min="6941" max="6941" width="7.140625" style="194" customWidth="1"/>
    <col min="6942" max="7167" width="9.140625" style="194"/>
    <col min="7168" max="7168" width="4.35546875" style="194" customWidth="1"/>
    <col min="7169" max="7169" width="20.640625" style="194" customWidth="1"/>
    <col min="7170" max="7170" width="12.35546875" style="194" customWidth="1"/>
    <col min="7171" max="7171" width="12.640625" style="194" customWidth="1"/>
    <col min="7172" max="7172" width="3.85546875" style="194" customWidth="1"/>
    <col min="7173" max="7173" width="4.2109375" style="194" customWidth="1"/>
    <col min="7174" max="7174" width="4.140625" style="194" customWidth="1"/>
    <col min="7175" max="7175" width="4" style="194" customWidth="1"/>
    <col min="7176" max="7176" width="16.35546875" style="194" customWidth="1"/>
    <col min="7177" max="7177" width="5.640625" style="194" customWidth="1"/>
    <col min="7178" max="7178" width="8.7109375" style="194" customWidth="1"/>
    <col min="7179" max="7179" width="5.35546875" style="194" customWidth="1"/>
    <col min="7180" max="7180" width="4.35546875" style="194" customWidth="1"/>
    <col min="7181" max="7181" width="4.2109375" style="194" customWidth="1"/>
    <col min="7182" max="7182" width="3.140625" style="194" customWidth="1"/>
    <col min="7183" max="7183" width="4.640625" style="194" customWidth="1"/>
    <col min="7184" max="7184" width="4.35546875" style="194" customWidth="1"/>
    <col min="7185" max="7185" width="4" style="194" customWidth="1"/>
    <col min="7186" max="7186" width="3" style="194" customWidth="1"/>
    <col min="7187" max="7187" width="3.85546875" style="194" customWidth="1"/>
    <col min="7188" max="7188" width="4.35546875" style="194" customWidth="1"/>
    <col min="7189" max="7189" width="3.35546875" style="194" customWidth="1"/>
    <col min="7190" max="7190" width="4.85546875" style="194" customWidth="1"/>
    <col min="7191" max="7191" width="10.640625" style="194" customWidth="1"/>
    <col min="7192" max="7192" width="7.140625" style="194" customWidth="1"/>
    <col min="7193" max="7193" width="8.140625" style="194" customWidth="1"/>
    <col min="7194" max="7194" width="7.640625" style="194" customWidth="1"/>
    <col min="7195" max="7196" width="7.7109375" style="194" customWidth="1"/>
    <col min="7197" max="7197" width="7.140625" style="194" customWidth="1"/>
    <col min="7198" max="7423" width="9.140625" style="194"/>
    <col min="7424" max="7424" width="4.35546875" style="194" customWidth="1"/>
    <col min="7425" max="7425" width="20.640625" style="194" customWidth="1"/>
    <col min="7426" max="7426" width="12.35546875" style="194" customWidth="1"/>
    <col min="7427" max="7427" width="12.640625" style="194" customWidth="1"/>
    <col min="7428" max="7428" width="3.85546875" style="194" customWidth="1"/>
    <col min="7429" max="7429" width="4.2109375" style="194" customWidth="1"/>
    <col min="7430" max="7430" width="4.140625" style="194" customWidth="1"/>
    <col min="7431" max="7431" width="4" style="194" customWidth="1"/>
    <col min="7432" max="7432" width="16.35546875" style="194" customWidth="1"/>
    <col min="7433" max="7433" width="5.640625" style="194" customWidth="1"/>
    <col min="7434" max="7434" width="8.7109375" style="194" customWidth="1"/>
    <col min="7435" max="7435" width="5.35546875" style="194" customWidth="1"/>
    <col min="7436" max="7436" width="4.35546875" style="194" customWidth="1"/>
    <col min="7437" max="7437" width="4.2109375" style="194" customWidth="1"/>
    <col min="7438" max="7438" width="3.140625" style="194" customWidth="1"/>
    <col min="7439" max="7439" width="4.640625" style="194" customWidth="1"/>
    <col min="7440" max="7440" width="4.35546875" style="194" customWidth="1"/>
    <col min="7441" max="7441" width="4" style="194" customWidth="1"/>
    <col min="7442" max="7442" width="3" style="194" customWidth="1"/>
    <col min="7443" max="7443" width="3.85546875" style="194" customWidth="1"/>
    <col min="7444" max="7444" width="4.35546875" style="194" customWidth="1"/>
    <col min="7445" max="7445" width="3.35546875" style="194" customWidth="1"/>
    <col min="7446" max="7446" width="4.85546875" style="194" customWidth="1"/>
    <col min="7447" max="7447" width="10.640625" style="194" customWidth="1"/>
    <col min="7448" max="7448" width="7.140625" style="194" customWidth="1"/>
    <col min="7449" max="7449" width="8.140625" style="194" customWidth="1"/>
    <col min="7450" max="7450" width="7.640625" style="194" customWidth="1"/>
    <col min="7451" max="7452" width="7.7109375" style="194" customWidth="1"/>
    <col min="7453" max="7453" width="7.140625" style="194" customWidth="1"/>
    <col min="7454" max="7679" width="9.140625" style="194"/>
    <col min="7680" max="7680" width="4.35546875" style="194" customWidth="1"/>
    <col min="7681" max="7681" width="20.640625" style="194" customWidth="1"/>
    <col min="7682" max="7682" width="12.35546875" style="194" customWidth="1"/>
    <col min="7683" max="7683" width="12.640625" style="194" customWidth="1"/>
    <col min="7684" max="7684" width="3.85546875" style="194" customWidth="1"/>
    <col min="7685" max="7685" width="4.2109375" style="194" customWidth="1"/>
    <col min="7686" max="7686" width="4.140625" style="194" customWidth="1"/>
    <col min="7687" max="7687" width="4" style="194" customWidth="1"/>
    <col min="7688" max="7688" width="16.35546875" style="194" customWidth="1"/>
    <col min="7689" max="7689" width="5.640625" style="194" customWidth="1"/>
    <col min="7690" max="7690" width="8.7109375" style="194" customWidth="1"/>
    <col min="7691" max="7691" width="5.35546875" style="194" customWidth="1"/>
    <col min="7692" max="7692" width="4.35546875" style="194" customWidth="1"/>
    <col min="7693" max="7693" width="4.2109375" style="194" customWidth="1"/>
    <col min="7694" max="7694" width="3.140625" style="194" customWidth="1"/>
    <col min="7695" max="7695" width="4.640625" style="194" customWidth="1"/>
    <col min="7696" max="7696" width="4.35546875" style="194" customWidth="1"/>
    <col min="7697" max="7697" width="4" style="194" customWidth="1"/>
    <col min="7698" max="7698" width="3" style="194" customWidth="1"/>
    <col min="7699" max="7699" width="3.85546875" style="194" customWidth="1"/>
    <col min="7700" max="7700" width="4.35546875" style="194" customWidth="1"/>
    <col min="7701" max="7701" width="3.35546875" style="194" customWidth="1"/>
    <col min="7702" max="7702" width="4.85546875" style="194" customWidth="1"/>
    <col min="7703" max="7703" width="10.640625" style="194" customWidth="1"/>
    <col min="7704" max="7704" width="7.140625" style="194" customWidth="1"/>
    <col min="7705" max="7705" width="8.140625" style="194" customWidth="1"/>
    <col min="7706" max="7706" width="7.640625" style="194" customWidth="1"/>
    <col min="7707" max="7708" width="7.7109375" style="194" customWidth="1"/>
    <col min="7709" max="7709" width="7.140625" style="194" customWidth="1"/>
    <col min="7710" max="7935" width="9.140625" style="194"/>
    <col min="7936" max="7936" width="4.35546875" style="194" customWidth="1"/>
    <col min="7937" max="7937" width="20.640625" style="194" customWidth="1"/>
    <col min="7938" max="7938" width="12.35546875" style="194" customWidth="1"/>
    <col min="7939" max="7939" width="12.640625" style="194" customWidth="1"/>
    <col min="7940" max="7940" width="3.85546875" style="194" customWidth="1"/>
    <col min="7941" max="7941" width="4.2109375" style="194" customWidth="1"/>
    <col min="7942" max="7942" width="4.140625" style="194" customWidth="1"/>
    <col min="7943" max="7943" width="4" style="194" customWidth="1"/>
    <col min="7944" max="7944" width="16.35546875" style="194" customWidth="1"/>
    <col min="7945" max="7945" width="5.640625" style="194" customWidth="1"/>
    <col min="7946" max="7946" width="8.7109375" style="194" customWidth="1"/>
    <col min="7947" max="7947" width="5.35546875" style="194" customWidth="1"/>
    <col min="7948" max="7948" width="4.35546875" style="194" customWidth="1"/>
    <col min="7949" max="7949" width="4.2109375" style="194" customWidth="1"/>
    <col min="7950" max="7950" width="3.140625" style="194" customWidth="1"/>
    <col min="7951" max="7951" width="4.640625" style="194" customWidth="1"/>
    <col min="7952" max="7952" width="4.35546875" style="194" customWidth="1"/>
    <col min="7953" max="7953" width="4" style="194" customWidth="1"/>
    <col min="7954" max="7954" width="3" style="194" customWidth="1"/>
    <col min="7955" max="7955" width="3.85546875" style="194" customWidth="1"/>
    <col min="7956" max="7956" width="4.35546875" style="194" customWidth="1"/>
    <col min="7957" max="7957" width="3.35546875" style="194" customWidth="1"/>
    <col min="7958" max="7958" width="4.85546875" style="194" customWidth="1"/>
    <col min="7959" max="7959" width="10.640625" style="194" customWidth="1"/>
    <col min="7960" max="7960" width="7.140625" style="194" customWidth="1"/>
    <col min="7961" max="7961" width="8.140625" style="194" customWidth="1"/>
    <col min="7962" max="7962" width="7.640625" style="194" customWidth="1"/>
    <col min="7963" max="7964" width="7.7109375" style="194" customWidth="1"/>
    <col min="7965" max="7965" width="7.140625" style="194" customWidth="1"/>
    <col min="7966" max="8191" width="9.140625" style="194"/>
    <col min="8192" max="8192" width="4.35546875" style="194" customWidth="1"/>
    <col min="8193" max="8193" width="20.640625" style="194" customWidth="1"/>
    <col min="8194" max="8194" width="12.35546875" style="194" customWidth="1"/>
    <col min="8195" max="8195" width="12.640625" style="194" customWidth="1"/>
    <col min="8196" max="8196" width="3.85546875" style="194" customWidth="1"/>
    <col min="8197" max="8197" width="4.2109375" style="194" customWidth="1"/>
    <col min="8198" max="8198" width="4.140625" style="194" customWidth="1"/>
    <col min="8199" max="8199" width="4" style="194" customWidth="1"/>
    <col min="8200" max="8200" width="16.35546875" style="194" customWidth="1"/>
    <col min="8201" max="8201" width="5.640625" style="194" customWidth="1"/>
    <col min="8202" max="8202" width="8.7109375" style="194" customWidth="1"/>
    <col min="8203" max="8203" width="5.35546875" style="194" customWidth="1"/>
    <col min="8204" max="8204" width="4.35546875" style="194" customWidth="1"/>
    <col min="8205" max="8205" width="4.2109375" style="194" customWidth="1"/>
    <col min="8206" max="8206" width="3.140625" style="194" customWidth="1"/>
    <col min="8207" max="8207" width="4.640625" style="194" customWidth="1"/>
    <col min="8208" max="8208" width="4.35546875" style="194" customWidth="1"/>
    <col min="8209" max="8209" width="4" style="194" customWidth="1"/>
    <col min="8210" max="8210" width="3" style="194" customWidth="1"/>
    <col min="8211" max="8211" width="3.85546875" style="194" customWidth="1"/>
    <col min="8212" max="8212" width="4.35546875" style="194" customWidth="1"/>
    <col min="8213" max="8213" width="3.35546875" style="194" customWidth="1"/>
    <col min="8214" max="8214" width="4.85546875" style="194" customWidth="1"/>
    <col min="8215" max="8215" width="10.640625" style="194" customWidth="1"/>
    <col min="8216" max="8216" width="7.140625" style="194" customWidth="1"/>
    <col min="8217" max="8217" width="8.140625" style="194" customWidth="1"/>
    <col min="8218" max="8218" width="7.640625" style="194" customWidth="1"/>
    <col min="8219" max="8220" width="7.7109375" style="194" customWidth="1"/>
    <col min="8221" max="8221" width="7.140625" style="194" customWidth="1"/>
    <col min="8222" max="8447" width="9.140625" style="194"/>
    <col min="8448" max="8448" width="4.35546875" style="194" customWidth="1"/>
    <col min="8449" max="8449" width="20.640625" style="194" customWidth="1"/>
    <col min="8450" max="8450" width="12.35546875" style="194" customWidth="1"/>
    <col min="8451" max="8451" width="12.640625" style="194" customWidth="1"/>
    <col min="8452" max="8452" width="3.85546875" style="194" customWidth="1"/>
    <col min="8453" max="8453" width="4.2109375" style="194" customWidth="1"/>
    <col min="8454" max="8454" width="4.140625" style="194" customWidth="1"/>
    <col min="8455" max="8455" width="4" style="194" customWidth="1"/>
    <col min="8456" max="8456" width="16.35546875" style="194" customWidth="1"/>
    <col min="8457" max="8457" width="5.640625" style="194" customWidth="1"/>
    <col min="8458" max="8458" width="8.7109375" style="194" customWidth="1"/>
    <col min="8459" max="8459" width="5.35546875" style="194" customWidth="1"/>
    <col min="8460" max="8460" width="4.35546875" style="194" customWidth="1"/>
    <col min="8461" max="8461" width="4.2109375" style="194" customWidth="1"/>
    <col min="8462" max="8462" width="3.140625" style="194" customWidth="1"/>
    <col min="8463" max="8463" width="4.640625" style="194" customWidth="1"/>
    <col min="8464" max="8464" width="4.35546875" style="194" customWidth="1"/>
    <col min="8465" max="8465" width="4" style="194" customWidth="1"/>
    <col min="8466" max="8466" width="3" style="194" customWidth="1"/>
    <col min="8467" max="8467" width="3.85546875" style="194" customWidth="1"/>
    <col min="8468" max="8468" width="4.35546875" style="194" customWidth="1"/>
    <col min="8469" max="8469" width="3.35546875" style="194" customWidth="1"/>
    <col min="8470" max="8470" width="4.85546875" style="194" customWidth="1"/>
    <col min="8471" max="8471" width="10.640625" style="194" customWidth="1"/>
    <col min="8472" max="8472" width="7.140625" style="194" customWidth="1"/>
    <col min="8473" max="8473" width="8.140625" style="194" customWidth="1"/>
    <col min="8474" max="8474" width="7.640625" style="194" customWidth="1"/>
    <col min="8475" max="8476" width="7.7109375" style="194" customWidth="1"/>
    <col min="8477" max="8477" width="7.140625" style="194" customWidth="1"/>
    <col min="8478" max="8703" width="9.140625" style="194"/>
    <col min="8704" max="8704" width="4.35546875" style="194" customWidth="1"/>
    <col min="8705" max="8705" width="20.640625" style="194" customWidth="1"/>
    <col min="8706" max="8706" width="12.35546875" style="194" customWidth="1"/>
    <col min="8707" max="8707" width="12.640625" style="194" customWidth="1"/>
    <col min="8708" max="8708" width="3.85546875" style="194" customWidth="1"/>
    <col min="8709" max="8709" width="4.2109375" style="194" customWidth="1"/>
    <col min="8710" max="8710" width="4.140625" style="194" customWidth="1"/>
    <col min="8711" max="8711" width="4" style="194" customWidth="1"/>
    <col min="8712" max="8712" width="16.35546875" style="194" customWidth="1"/>
    <col min="8713" max="8713" width="5.640625" style="194" customWidth="1"/>
    <col min="8714" max="8714" width="8.7109375" style="194" customWidth="1"/>
    <col min="8715" max="8715" width="5.35546875" style="194" customWidth="1"/>
    <col min="8716" max="8716" width="4.35546875" style="194" customWidth="1"/>
    <col min="8717" max="8717" width="4.2109375" style="194" customWidth="1"/>
    <col min="8718" max="8718" width="3.140625" style="194" customWidth="1"/>
    <col min="8719" max="8719" width="4.640625" style="194" customWidth="1"/>
    <col min="8720" max="8720" width="4.35546875" style="194" customWidth="1"/>
    <col min="8721" max="8721" width="4" style="194" customWidth="1"/>
    <col min="8722" max="8722" width="3" style="194" customWidth="1"/>
    <col min="8723" max="8723" width="3.85546875" style="194" customWidth="1"/>
    <col min="8724" max="8724" width="4.35546875" style="194" customWidth="1"/>
    <col min="8725" max="8725" width="3.35546875" style="194" customWidth="1"/>
    <col min="8726" max="8726" width="4.85546875" style="194" customWidth="1"/>
    <col min="8727" max="8727" width="10.640625" style="194" customWidth="1"/>
    <col min="8728" max="8728" width="7.140625" style="194" customWidth="1"/>
    <col min="8729" max="8729" width="8.140625" style="194" customWidth="1"/>
    <col min="8730" max="8730" width="7.640625" style="194" customWidth="1"/>
    <col min="8731" max="8732" width="7.7109375" style="194" customWidth="1"/>
    <col min="8733" max="8733" width="7.140625" style="194" customWidth="1"/>
    <col min="8734" max="8959" width="9.140625" style="194"/>
    <col min="8960" max="8960" width="4.35546875" style="194" customWidth="1"/>
    <col min="8961" max="8961" width="20.640625" style="194" customWidth="1"/>
    <col min="8962" max="8962" width="12.35546875" style="194" customWidth="1"/>
    <col min="8963" max="8963" width="12.640625" style="194" customWidth="1"/>
    <col min="8964" max="8964" width="3.85546875" style="194" customWidth="1"/>
    <col min="8965" max="8965" width="4.2109375" style="194" customWidth="1"/>
    <col min="8966" max="8966" width="4.140625" style="194" customWidth="1"/>
    <col min="8967" max="8967" width="4" style="194" customWidth="1"/>
    <col min="8968" max="8968" width="16.35546875" style="194" customWidth="1"/>
    <col min="8969" max="8969" width="5.640625" style="194" customWidth="1"/>
    <col min="8970" max="8970" width="8.7109375" style="194" customWidth="1"/>
    <col min="8971" max="8971" width="5.35546875" style="194" customWidth="1"/>
    <col min="8972" max="8972" width="4.35546875" style="194" customWidth="1"/>
    <col min="8973" max="8973" width="4.2109375" style="194" customWidth="1"/>
    <col min="8974" max="8974" width="3.140625" style="194" customWidth="1"/>
    <col min="8975" max="8975" width="4.640625" style="194" customWidth="1"/>
    <col min="8976" max="8976" width="4.35546875" style="194" customWidth="1"/>
    <col min="8977" max="8977" width="4" style="194" customWidth="1"/>
    <col min="8978" max="8978" width="3" style="194" customWidth="1"/>
    <col min="8979" max="8979" width="3.85546875" style="194" customWidth="1"/>
    <col min="8980" max="8980" width="4.35546875" style="194" customWidth="1"/>
    <col min="8981" max="8981" width="3.35546875" style="194" customWidth="1"/>
    <col min="8982" max="8982" width="4.85546875" style="194" customWidth="1"/>
    <col min="8983" max="8983" width="10.640625" style="194" customWidth="1"/>
    <col min="8984" max="8984" width="7.140625" style="194" customWidth="1"/>
    <col min="8985" max="8985" width="8.140625" style="194" customWidth="1"/>
    <col min="8986" max="8986" width="7.640625" style="194" customWidth="1"/>
    <col min="8987" max="8988" width="7.7109375" style="194" customWidth="1"/>
    <col min="8989" max="8989" width="7.140625" style="194" customWidth="1"/>
    <col min="8990" max="9215" width="9.140625" style="194"/>
    <col min="9216" max="9216" width="4.35546875" style="194" customWidth="1"/>
    <col min="9217" max="9217" width="20.640625" style="194" customWidth="1"/>
    <col min="9218" max="9218" width="12.35546875" style="194" customWidth="1"/>
    <col min="9219" max="9219" width="12.640625" style="194" customWidth="1"/>
    <col min="9220" max="9220" width="3.85546875" style="194" customWidth="1"/>
    <col min="9221" max="9221" width="4.2109375" style="194" customWidth="1"/>
    <col min="9222" max="9222" width="4.140625" style="194" customWidth="1"/>
    <col min="9223" max="9223" width="4" style="194" customWidth="1"/>
    <col min="9224" max="9224" width="16.35546875" style="194" customWidth="1"/>
    <col min="9225" max="9225" width="5.640625" style="194" customWidth="1"/>
    <col min="9226" max="9226" width="8.7109375" style="194" customWidth="1"/>
    <col min="9227" max="9227" width="5.35546875" style="194" customWidth="1"/>
    <col min="9228" max="9228" width="4.35546875" style="194" customWidth="1"/>
    <col min="9229" max="9229" width="4.2109375" style="194" customWidth="1"/>
    <col min="9230" max="9230" width="3.140625" style="194" customWidth="1"/>
    <col min="9231" max="9231" width="4.640625" style="194" customWidth="1"/>
    <col min="9232" max="9232" width="4.35546875" style="194" customWidth="1"/>
    <col min="9233" max="9233" width="4" style="194" customWidth="1"/>
    <col min="9234" max="9234" width="3" style="194" customWidth="1"/>
    <col min="9235" max="9235" width="3.85546875" style="194" customWidth="1"/>
    <col min="9236" max="9236" width="4.35546875" style="194" customWidth="1"/>
    <col min="9237" max="9237" width="3.35546875" style="194" customWidth="1"/>
    <col min="9238" max="9238" width="4.85546875" style="194" customWidth="1"/>
    <col min="9239" max="9239" width="10.640625" style="194" customWidth="1"/>
    <col min="9240" max="9240" width="7.140625" style="194" customWidth="1"/>
    <col min="9241" max="9241" width="8.140625" style="194" customWidth="1"/>
    <col min="9242" max="9242" width="7.640625" style="194" customWidth="1"/>
    <col min="9243" max="9244" width="7.7109375" style="194" customWidth="1"/>
    <col min="9245" max="9245" width="7.140625" style="194" customWidth="1"/>
    <col min="9246" max="9471" width="9.140625" style="194"/>
    <col min="9472" max="9472" width="4.35546875" style="194" customWidth="1"/>
    <col min="9473" max="9473" width="20.640625" style="194" customWidth="1"/>
    <col min="9474" max="9474" width="12.35546875" style="194" customWidth="1"/>
    <col min="9475" max="9475" width="12.640625" style="194" customWidth="1"/>
    <col min="9476" max="9476" width="3.85546875" style="194" customWidth="1"/>
    <col min="9477" max="9477" width="4.2109375" style="194" customWidth="1"/>
    <col min="9478" max="9478" width="4.140625" style="194" customWidth="1"/>
    <col min="9479" max="9479" width="4" style="194" customWidth="1"/>
    <col min="9480" max="9480" width="16.35546875" style="194" customWidth="1"/>
    <col min="9481" max="9481" width="5.640625" style="194" customWidth="1"/>
    <col min="9482" max="9482" width="8.7109375" style="194" customWidth="1"/>
    <col min="9483" max="9483" width="5.35546875" style="194" customWidth="1"/>
    <col min="9484" max="9484" width="4.35546875" style="194" customWidth="1"/>
    <col min="9485" max="9485" width="4.2109375" style="194" customWidth="1"/>
    <col min="9486" max="9486" width="3.140625" style="194" customWidth="1"/>
    <col min="9487" max="9487" width="4.640625" style="194" customWidth="1"/>
    <col min="9488" max="9488" width="4.35546875" style="194" customWidth="1"/>
    <col min="9489" max="9489" width="4" style="194" customWidth="1"/>
    <col min="9490" max="9490" width="3" style="194" customWidth="1"/>
    <col min="9491" max="9491" width="3.85546875" style="194" customWidth="1"/>
    <col min="9492" max="9492" width="4.35546875" style="194" customWidth="1"/>
    <col min="9493" max="9493" width="3.35546875" style="194" customWidth="1"/>
    <col min="9494" max="9494" width="4.85546875" style="194" customWidth="1"/>
    <col min="9495" max="9495" width="10.640625" style="194" customWidth="1"/>
    <col min="9496" max="9496" width="7.140625" style="194" customWidth="1"/>
    <col min="9497" max="9497" width="8.140625" style="194" customWidth="1"/>
    <col min="9498" max="9498" width="7.640625" style="194" customWidth="1"/>
    <col min="9499" max="9500" width="7.7109375" style="194" customWidth="1"/>
    <col min="9501" max="9501" width="7.140625" style="194" customWidth="1"/>
    <col min="9502" max="9727" width="9.140625" style="194"/>
    <col min="9728" max="9728" width="4.35546875" style="194" customWidth="1"/>
    <col min="9729" max="9729" width="20.640625" style="194" customWidth="1"/>
    <col min="9730" max="9730" width="12.35546875" style="194" customWidth="1"/>
    <col min="9731" max="9731" width="12.640625" style="194" customWidth="1"/>
    <col min="9732" max="9732" width="3.85546875" style="194" customWidth="1"/>
    <col min="9733" max="9733" width="4.2109375" style="194" customWidth="1"/>
    <col min="9734" max="9734" width="4.140625" style="194" customWidth="1"/>
    <col min="9735" max="9735" width="4" style="194" customWidth="1"/>
    <col min="9736" max="9736" width="16.35546875" style="194" customWidth="1"/>
    <col min="9737" max="9737" width="5.640625" style="194" customWidth="1"/>
    <col min="9738" max="9738" width="8.7109375" style="194" customWidth="1"/>
    <col min="9739" max="9739" width="5.35546875" style="194" customWidth="1"/>
    <col min="9740" max="9740" width="4.35546875" style="194" customWidth="1"/>
    <col min="9741" max="9741" width="4.2109375" style="194" customWidth="1"/>
    <col min="9742" max="9742" width="3.140625" style="194" customWidth="1"/>
    <col min="9743" max="9743" width="4.640625" style="194" customWidth="1"/>
    <col min="9744" max="9744" width="4.35546875" style="194" customWidth="1"/>
    <col min="9745" max="9745" width="4" style="194" customWidth="1"/>
    <col min="9746" max="9746" width="3" style="194" customWidth="1"/>
    <col min="9747" max="9747" width="3.85546875" style="194" customWidth="1"/>
    <col min="9748" max="9748" width="4.35546875" style="194" customWidth="1"/>
    <col min="9749" max="9749" width="3.35546875" style="194" customWidth="1"/>
    <col min="9750" max="9750" width="4.85546875" style="194" customWidth="1"/>
    <col min="9751" max="9751" width="10.640625" style="194" customWidth="1"/>
    <col min="9752" max="9752" width="7.140625" style="194" customWidth="1"/>
    <col min="9753" max="9753" width="8.140625" style="194" customWidth="1"/>
    <col min="9754" max="9754" width="7.640625" style="194" customWidth="1"/>
    <col min="9755" max="9756" width="7.7109375" style="194" customWidth="1"/>
    <col min="9757" max="9757" width="7.140625" style="194" customWidth="1"/>
    <col min="9758" max="9983" width="9.140625" style="194"/>
    <col min="9984" max="9984" width="4.35546875" style="194" customWidth="1"/>
    <col min="9985" max="9985" width="20.640625" style="194" customWidth="1"/>
    <col min="9986" max="9986" width="12.35546875" style="194" customWidth="1"/>
    <col min="9987" max="9987" width="12.640625" style="194" customWidth="1"/>
    <col min="9988" max="9988" width="3.85546875" style="194" customWidth="1"/>
    <col min="9989" max="9989" width="4.2109375" style="194" customWidth="1"/>
    <col min="9990" max="9990" width="4.140625" style="194" customWidth="1"/>
    <col min="9991" max="9991" width="4" style="194" customWidth="1"/>
    <col min="9992" max="9992" width="16.35546875" style="194" customWidth="1"/>
    <col min="9993" max="9993" width="5.640625" style="194" customWidth="1"/>
    <col min="9994" max="9994" width="8.7109375" style="194" customWidth="1"/>
    <col min="9995" max="9995" width="5.35546875" style="194" customWidth="1"/>
    <col min="9996" max="9996" width="4.35546875" style="194" customWidth="1"/>
    <col min="9997" max="9997" width="4.2109375" style="194" customWidth="1"/>
    <col min="9998" max="9998" width="3.140625" style="194" customWidth="1"/>
    <col min="9999" max="9999" width="4.640625" style="194" customWidth="1"/>
    <col min="10000" max="10000" width="4.35546875" style="194" customWidth="1"/>
    <col min="10001" max="10001" width="4" style="194" customWidth="1"/>
    <col min="10002" max="10002" width="3" style="194" customWidth="1"/>
    <col min="10003" max="10003" width="3.85546875" style="194" customWidth="1"/>
    <col min="10004" max="10004" width="4.35546875" style="194" customWidth="1"/>
    <col min="10005" max="10005" width="3.35546875" style="194" customWidth="1"/>
    <col min="10006" max="10006" width="4.85546875" style="194" customWidth="1"/>
    <col min="10007" max="10007" width="10.640625" style="194" customWidth="1"/>
    <col min="10008" max="10008" width="7.140625" style="194" customWidth="1"/>
    <col min="10009" max="10009" width="8.140625" style="194" customWidth="1"/>
    <col min="10010" max="10010" width="7.640625" style="194" customWidth="1"/>
    <col min="10011" max="10012" width="7.7109375" style="194" customWidth="1"/>
    <col min="10013" max="10013" width="7.140625" style="194" customWidth="1"/>
    <col min="10014" max="10239" width="9.140625" style="194"/>
    <col min="10240" max="10240" width="4.35546875" style="194" customWidth="1"/>
    <col min="10241" max="10241" width="20.640625" style="194" customWidth="1"/>
    <col min="10242" max="10242" width="12.35546875" style="194" customWidth="1"/>
    <col min="10243" max="10243" width="12.640625" style="194" customWidth="1"/>
    <col min="10244" max="10244" width="3.85546875" style="194" customWidth="1"/>
    <col min="10245" max="10245" width="4.2109375" style="194" customWidth="1"/>
    <col min="10246" max="10246" width="4.140625" style="194" customWidth="1"/>
    <col min="10247" max="10247" width="4" style="194" customWidth="1"/>
    <col min="10248" max="10248" width="16.35546875" style="194" customWidth="1"/>
    <col min="10249" max="10249" width="5.640625" style="194" customWidth="1"/>
    <col min="10250" max="10250" width="8.7109375" style="194" customWidth="1"/>
    <col min="10251" max="10251" width="5.35546875" style="194" customWidth="1"/>
    <col min="10252" max="10252" width="4.35546875" style="194" customWidth="1"/>
    <col min="10253" max="10253" width="4.2109375" style="194" customWidth="1"/>
    <col min="10254" max="10254" width="3.140625" style="194" customWidth="1"/>
    <col min="10255" max="10255" width="4.640625" style="194" customWidth="1"/>
    <col min="10256" max="10256" width="4.35546875" style="194" customWidth="1"/>
    <col min="10257" max="10257" width="4" style="194" customWidth="1"/>
    <col min="10258" max="10258" width="3" style="194" customWidth="1"/>
    <col min="10259" max="10259" width="3.85546875" style="194" customWidth="1"/>
    <col min="10260" max="10260" width="4.35546875" style="194" customWidth="1"/>
    <col min="10261" max="10261" width="3.35546875" style="194" customWidth="1"/>
    <col min="10262" max="10262" width="4.85546875" style="194" customWidth="1"/>
    <col min="10263" max="10263" width="10.640625" style="194" customWidth="1"/>
    <col min="10264" max="10264" width="7.140625" style="194" customWidth="1"/>
    <col min="10265" max="10265" width="8.140625" style="194" customWidth="1"/>
    <col min="10266" max="10266" width="7.640625" style="194" customWidth="1"/>
    <col min="10267" max="10268" width="7.7109375" style="194" customWidth="1"/>
    <col min="10269" max="10269" width="7.140625" style="194" customWidth="1"/>
    <col min="10270" max="10495" width="9.140625" style="194"/>
    <col min="10496" max="10496" width="4.35546875" style="194" customWidth="1"/>
    <col min="10497" max="10497" width="20.640625" style="194" customWidth="1"/>
    <col min="10498" max="10498" width="12.35546875" style="194" customWidth="1"/>
    <col min="10499" max="10499" width="12.640625" style="194" customWidth="1"/>
    <col min="10500" max="10500" width="3.85546875" style="194" customWidth="1"/>
    <col min="10501" max="10501" width="4.2109375" style="194" customWidth="1"/>
    <col min="10502" max="10502" width="4.140625" style="194" customWidth="1"/>
    <col min="10503" max="10503" width="4" style="194" customWidth="1"/>
    <col min="10504" max="10504" width="16.35546875" style="194" customWidth="1"/>
    <col min="10505" max="10505" width="5.640625" style="194" customWidth="1"/>
    <col min="10506" max="10506" width="8.7109375" style="194" customWidth="1"/>
    <col min="10507" max="10507" width="5.35546875" style="194" customWidth="1"/>
    <col min="10508" max="10508" width="4.35546875" style="194" customWidth="1"/>
    <col min="10509" max="10509" width="4.2109375" style="194" customWidth="1"/>
    <col min="10510" max="10510" width="3.140625" style="194" customWidth="1"/>
    <col min="10511" max="10511" width="4.640625" style="194" customWidth="1"/>
    <col min="10512" max="10512" width="4.35546875" style="194" customWidth="1"/>
    <col min="10513" max="10513" width="4" style="194" customWidth="1"/>
    <col min="10514" max="10514" width="3" style="194" customWidth="1"/>
    <col min="10515" max="10515" width="3.85546875" style="194" customWidth="1"/>
    <col min="10516" max="10516" width="4.35546875" style="194" customWidth="1"/>
    <col min="10517" max="10517" width="3.35546875" style="194" customWidth="1"/>
    <col min="10518" max="10518" width="4.85546875" style="194" customWidth="1"/>
    <col min="10519" max="10519" width="10.640625" style="194" customWidth="1"/>
    <col min="10520" max="10520" width="7.140625" style="194" customWidth="1"/>
    <col min="10521" max="10521" width="8.140625" style="194" customWidth="1"/>
    <col min="10522" max="10522" width="7.640625" style="194" customWidth="1"/>
    <col min="10523" max="10524" width="7.7109375" style="194" customWidth="1"/>
    <col min="10525" max="10525" width="7.140625" style="194" customWidth="1"/>
    <col min="10526" max="10751" width="9.140625" style="194"/>
    <col min="10752" max="10752" width="4.35546875" style="194" customWidth="1"/>
    <col min="10753" max="10753" width="20.640625" style="194" customWidth="1"/>
    <col min="10754" max="10754" width="12.35546875" style="194" customWidth="1"/>
    <col min="10755" max="10755" width="12.640625" style="194" customWidth="1"/>
    <col min="10756" max="10756" width="3.85546875" style="194" customWidth="1"/>
    <col min="10757" max="10757" width="4.2109375" style="194" customWidth="1"/>
    <col min="10758" max="10758" width="4.140625" style="194" customWidth="1"/>
    <col min="10759" max="10759" width="4" style="194" customWidth="1"/>
    <col min="10760" max="10760" width="16.35546875" style="194" customWidth="1"/>
    <col min="10761" max="10761" width="5.640625" style="194" customWidth="1"/>
    <col min="10762" max="10762" width="8.7109375" style="194" customWidth="1"/>
    <col min="10763" max="10763" width="5.35546875" style="194" customWidth="1"/>
    <col min="10764" max="10764" width="4.35546875" style="194" customWidth="1"/>
    <col min="10765" max="10765" width="4.2109375" style="194" customWidth="1"/>
    <col min="10766" max="10766" width="3.140625" style="194" customWidth="1"/>
    <col min="10767" max="10767" width="4.640625" style="194" customWidth="1"/>
    <col min="10768" max="10768" width="4.35546875" style="194" customWidth="1"/>
    <col min="10769" max="10769" width="4" style="194" customWidth="1"/>
    <col min="10770" max="10770" width="3" style="194" customWidth="1"/>
    <col min="10771" max="10771" width="3.85546875" style="194" customWidth="1"/>
    <col min="10772" max="10772" width="4.35546875" style="194" customWidth="1"/>
    <col min="10773" max="10773" width="3.35546875" style="194" customWidth="1"/>
    <col min="10774" max="10774" width="4.85546875" style="194" customWidth="1"/>
    <col min="10775" max="10775" width="10.640625" style="194" customWidth="1"/>
    <col min="10776" max="10776" width="7.140625" style="194" customWidth="1"/>
    <col min="10777" max="10777" width="8.140625" style="194" customWidth="1"/>
    <col min="10778" max="10778" width="7.640625" style="194" customWidth="1"/>
    <col min="10779" max="10780" width="7.7109375" style="194" customWidth="1"/>
    <col min="10781" max="10781" width="7.140625" style="194" customWidth="1"/>
    <col min="10782" max="11007" width="9.140625" style="194"/>
    <col min="11008" max="11008" width="4.35546875" style="194" customWidth="1"/>
    <col min="11009" max="11009" width="20.640625" style="194" customWidth="1"/>
    <col min="11010" max="11010" width="12.35546875" style="194" customWidth="1"/>
    <col min="11011" max="11011" width="12.640625" style="194" customWidth="1"/>
    <col min="11012" max="11012" width="3.85546875" style="194" customWidth="1"/>
    <col min="11013" max="11013" width="4.2109375" style="194" customWidth="1"/>
    <col min="11014" max="11014" width="4.140625" style="194" customWidth="1"/>
    <col min="11015" max="11015" width="4" style="194" customWidth="1"/>
    <col min="11016" max="11016" width="16.35546875" style="194" customWidth="1"/>
    <col min="11017" max="11017" width="5.640625" style="194" customWidth="1"/>
    <col min="11018" max="11018" width="8.7109375" style="194" customWidth="1"/>
    <col min="11019" max="11019" width="5.35546875" style="194" customWidth="1"/>
    <col min="11020" max="11020" width="4.35546875" style="194" customWidth="1"/>
    <col min="11021" max="11021" width="4.2109375" style="194" customWidth="1"/>
    <col min="11022" max="11022" width="3.140625" style="194" customWidth="1"/>
    <col min="11023" max="11023" width="4.640625" style="194" customWidth="1"/>
    <col min="11024" max="11024" width="4.35546875" style="194" customWidth="1"/>
    <col min="11025" max="11025" width="4" style="194" customWidth="1"/>
    <col min="11026" max="11026" width="3" style="194" customWidth="1"/>
    <col min="11027" max="11027" width="3.85546875" style="194" customWidth="1"/>
    <col min="11028" max="11028" width="4.35546875" style="194" customWidth="1"/>
    <col min="11029" max="11029" width="3.35546875" style="194" customWidth="1"/>
    <col min="11030" max="11030" width="4.85546875" style="194" customWidth="1"/>
    <col min="11031" max="11031" width="10.640625" style="194" customWidth="1"/>
    <col min="11032" max="11032" width="7.140625" style="194" customWidth="1"/>
    <col min="11033" max="11033" width="8.140625" style="194" customWidth="1"/>
    <col min="11034" max="11034" width="7.640625" style="194" customWidth="1"/>
    <col min="11035" max="11036" width="7.7109375" style="194" customWidth="1"/>
    <col min="11037" max="11037" width="7.140625" style="194" customWidth="1"/>
    <col min="11038" max="11263" width="9.140625" style="194"/>
    <col min="11264" max="11264" width="4.35546875" style="194" customWidth="1"/>
    <col min="11265" max="11265" width="20.640625" style="194" customWidth="1"/>
    <col min="11266" max="11266" width="12.35546875" style="194" customWidth="1"/>
    <col min="11267" max="11267" width="12.640625" style="194" customWidth="1"/>
    <col min="11268" max="11268" width="3.85546875" style="194" customWidth="1"/>
    <col min="11269" max="11269" width="4.2109375" style="194" customWidth="1"/>
    <col min="11270" max="11270" width="4.140625" style="194" customWidth="1"/>
    <col min="11271" max="11271" width="4" style="194" customWidth="1"/>
    <col min="11272" max="11272" width="16.35546875" style="194" customWidth="1"/>
    <col min="11273" max="11273" width="5.640625" style="194" customWidth="1"/>
    <col min="11274" max="11274" width="8.7109375" style="194" customWidth="1"/>
    <col min="11275" max="11275" width="5.35546875" style="194" customWidth="1"/>
    <col min="11276" max="11276" width="4.35546875" style="194" customWidth="1"/>
    <col min="11277" max="11277" width="4.2109375" style="194" customWidth="1"/>
    <col min="11278" max="11278" width="3.140625" style="194" customWidth="1"/>
    <col min="11279" max="11279" width="4.640625" style="194" customWidth="1"/>
    <col min="11280" max="11280" width="4.35546875" style="194" customWidth="1"/>
    <col min="11281" max="11281" width="4" style="194" customWidth="1"/>
    <col min="11282" max="11282" width="3" style="194" customWidth="1"/>
    <col min="11283" max="11283" width="3.85546875" style="194" customWidth="1"/>
    <col min="11284" max="11284" width="4.35546875" style="194" customWidth="1"/>
    <col min="11285" max="11285" width="3.35546875" style="194" customWidth="1"/>
    <col min="11286" max="11286" width="4.85546875" style="194" customWidth="1"/>
    <col min="11287" max="11287" width="10.640625" style="194" customWidth="1"/>
    <col min="11288" max="11288" width="7.140625" style="194" customWidth="1"/>
    <col min="11289" max="11289" width="8.140625" style="194" customWidth="1"/>
    <col min="11290" max="11290" width="7.640625" style="194" customWidth="1"/>
    <col min="11291" max="11292" width="7.7109375" style="194" customWidth="1"/>
    <col min="11293" max="11293" width="7.140625" style="194" customWidth="1"/>
    <col min="11294" max="11519" width="9.140625" style="194"/>
    <col min="11520" max="11520" width="4.35546875" style="194" customWidth="1"/>
    <col min="11521" max="11521" width="20.640625" style="194" customWidth="1"/>
    <col min="11522" max="11522" width="12.35546875" style="194" customWidth="1"/>
    <col min="11523" max="11523" width="12.640625" style="194" customWidth="1"/>
    <col min="11524" max="11524" width="3.85546875" style="194" customWidth="1"/>
    <col min="11525" max="11525" width="4.2109375" style="194" customWidth="1"/>
    <col min="11526" max="11526" width="4.140625" style="194" customWidth="1"/>
    <col min="11527" max="11527" width="4" style="194" customWidth="1"/>
    <col min="11528" max="11528" width="16.35546875" style="194" customWidth="1"/>
    <col min="11529" max="11529" width="5.640625" style="194" customWidth="1"/>
    <col min="11530" max="11530" width="8.7109375" style="194" customWidth="1"/>
    <col min="11531" max="11531" width="5.35546875" style="194" customWidth="1"/>
    <col min="11532" max="11532" width="4.35546875" style="194" customWidth="1"/>
    <col min="11533" max="11533" width="4.2109375" style="194" customWidth="1"/>
    <col min="11534" max="11534" width="3.140625" style="194" customWidth="1"/>
    <col min="11535" max="11535" width="4.640625" style="194" customWidth="1"/>
    <col min="11536" max="11536" width="4.35546875" style="194" customWidth="1"/>
    <col min="11537" max="11537" width="4" style="194" customWidth="1"/>
    <col min="11538" max="11538" width="3" style="194" customWidth="1"/>
    <col min="11539" max="11539" width="3.85546875" style="194" customWidth="1"/>
    <col min="11540" max="11540" width="4.35546875" style="194" customWidth="1"/>
    <col min="11541" max="11541" width="3.35546875" style="194" customWidth="1"/>
    <col min="11542" max="11542" width="4.85546875" style="194" customWidth="1"/>
    <col min="11543" max="11543" width="10.640625" style="194" customWidth="1"/>
    <col min="11544" max="11544" width="7.140625" style="194" customWidth="1"/>
    <col min="11545" max="11545" width="8.140625" style="194" customWidth="1"/>
    <col min="11546" max="11546" width="7.640625" style="194" customWidth="1"/>
    <col min="11547" max="11548" width="7.7109375" style="194" customWidth="1"/>
    <col min="11549" max="11549" width="7.140625" style="194" customWidth="1"/>
    <col min="11550" max="11775" width="9.140625" style="194"/>
    <col min="11776" max="11776" width="4.35546875" style="194" customWidth="1"/>
    <col min="11777" max="11777" width="20.640625" style="194" customWidth="1"/>
    <col min="11778" max="11778" width="12.35546875" style="194" customWidth="1"/>
    <col min="11779" max="11779" width="12.640625" style="194" customWidth="1"/>
    <col min="11780" max="11780" width="3.85546875" style="194" customWidth="1"/>
    <col min="11781" max="11781" width="4.2109375" style="194" customWidth="1"/>
    <col min="11782" max="11782" width="4.140625" style="194" customWidth="1"/>
    <col min="11783" max="11783" width="4" style="194" customWidth="1"/>
    <col min="11784" max="11784" width="16.35546875" style="194" customWidth="1"/>
    <col min="11785" max="11785" width="5.640625" style="194" customWidth="1"/>
    <col min="11786" max="11786" width="8.7109375" style="194" customWidth="1"/>
    <col min="11787" max="11787" width="5.35546875" style="194" customWidth="1"/>
    <col min="11788" max="11788" width="4.35546875" style="194" customWidth="1"/>
    <col min="11789" max="11789" width="4.2109375" style="194" customWidth="1"/>
    <col min="11790" max="11790" width="3.140625" style="194" customWidth="1"/>
    <col min="11791" max="11791" width="4.640625" style="194" customWidth="1"/>
    <col min="11792" max="11792" width="4.35546875" style="194" customWidth="1"/>
    <col min="11793" max="11793" width="4" style="194" customWidth="1"/>
    <col min="11794" max="11794" width="3" style="194" customWidth="1"/>
    <col min="11795" max="11795" width="3.85546875" style="194" customWidth="1"/>
    <col min="11796" max="11796" width="4.35546875" style="194" customWidth="1"/>
    <col min="11797" max="11797" width="3.35546875" style="194" customWidth="1"/>
    <col min="11798" max="11798" width="4.85546875" style="194" customWidth="1"/>
    <col min="11799" max="11799" width="10.640625" style="194" customWidth="1"/>
    <col min="11800" max="11800" width="7.140625" style="194" customWidth="1"/>
    <col min="11801" max="11801" width="8.140625" style="194" customWidth="1"/>
    <col min="11802" max="11802" width="7.640625" style="194" customWidth="1"/>
    <col min="11803" max="11804" width="7.7109375" style="194" customWidth="1"/>
    <col min="11805" max="11805" width="7.140625" style="194" customWidth="1"/>
    <col min="11806" max="12031" width="9.140625" style="194"/>
    <col min="12032" max="12032" width="4.35546875" style="194" customWidth="1"/>
    <col min="12033" max="12033" width="20.640625" style="194" customWidth="1"/>
    <col min="12034" max="12034" width="12.35546875" style="194" customWidth="1"/>
    <col min="12035" max="12035" width="12.640625" style="194" customWidth="1"/>
    <col min="12036" max="12036" width="3.85546875" style="194" customWidth="1"/>
    <col min="12037" max="12037" width="4.2109375" style="194" customWidth="1"/>
    <col min="12038" max="12038" width="4.140625" style="194" customWidth="1"/>
    <col min="12039" max="12039" width="4" style="194" customWidth="1"/>
    <col min="12040" max="12040" width="16.35546875" style="194" customWidth="1"/>
    <col min="12041" max="12041" width="5.640625" style="194" customWidth="1"/>
    <col min="12042" max="12042" width="8.7109375" style="194" customWidth="1"/>
    <col min="12043" max="12043" width="5.35546875" style="194" customWidth="1"/>
    <col min="12044" max="12044" width="4.35546875" style="194" customWidth="1"/>
    <col min="12045" max="12045" width="4.2109375" style="194" customWidth="1"/>
    <col min="12046" max="12046" width="3.140625" style="194" customWidth="1"/>
    <col min="12047" max="12047" width="4.640625" style="194" customWidth="1"/>
    <col min="12048" max="12048" width="4.35546875" style="194" customWidth="1"/>
    <col min="12049" max="12049" width="4" style="194" customWidth="1"/>
    <col min="12050" max="12050" width="3" style="194" customWidth="1"/>
    <col min="12051" max="12051" width="3.85546875" style="194" customWidth="1"/>
    <col min="12052" max="12052" width="4.35546875" style="194" customWidth="1"/>
    <col min="12053" max="12053" width="3.35546875" style="194" customWidth="1"/>
    <col min="12054" max="12054" width="4.85546875" style="194" customWidth="1"/>
    <col min="12055" max="12055" width="10.640625" style="194" customWidth="1"/>
    <col min="12056" max="12056" width="7.140625" style="194" customWidth="1"/>
    <col min="12057" max="12057" width="8.140625" style="194" customWidth="1"/>
    <col min="12058" max="12058" width="7.640625" style="194" customWidth="1"/>
    <col min="12059" max="12060" width="7.7109375" style="194" customWidth="1"/>
    <col min="12061" max="12061" width="7.140625" style="194" customWidth="1"/>
    <col min="12062" max="12287" width="9.140625" style="194"/>
    <col min="12288" max="12288" width="4.35546875" style="194" customWidth="1"/>
    <col min="12289" max="12289" width="20.640625" style="194" customWidth="1"/>
    <col min="12290" max="12290" width="12.35546875" style="194" customWidth="1"/>
    <col min="12291" max="12291" width="12.640625" style="194" customWidth="1"/>
    <col min="12292" max="12292" width="3.85546875" style="194" customWidth="1"/>
    <col min="12293" max="12293" width="4.2109375" style="194" customWidth="1"/>
    <col min="12294" max="12294" width="4.140625" style="194" customWidth="1"/>
    <col min="12295" max="12295" width="4" style="194" customWidth="1"/>
    <col min="12296" max="12296" width="16.35546875" style="194" customWidth="1"/>
    <col min="12297" max="12297" width="5.640625" style="194" customWidth="1"/>
    <col min="12298" max="12298" width="8.7109375" style="194" customWidth="1"/>
    <col min="12299" max="12299" width="5.35546875" style="194" customWidth="1"/>
    <col min="12300" max="12300" width="4.35546875" style="194" customWidth="1"/>
    <col min="12301" max="12301" width="4.2109375" style="194" customWidth="1"/>
    <col min="12302" max="12302" width="3.140625" style="194" customWidth="1"/>
    <col min="12303" max="12303" width="4.640625" style="194" customWidth="1"/>
    <col min="12304" max="12304" width="4.35546875" style="194" customWidth="1"/>
    <col min="12305" max="12305" width="4" style="194" customWidth="1"/>
    <col min="12306" max="12306" width="3" style="194" customWidth="1"/>
    <col min="12307" max="12307" width="3.85546875" style="194" customWidth="1"/>
    <col min="12308" max="12308" width="4.35546875" style="194" customWidth="1"/>
    <col min="12309" max="12309" width="3.35546875" style="194" customWidth="1"/>
    <col min="12310" max="12310" width="4.85546875" style="194" customWidth="1"/>
    <col min="12311" max="12311" width="10.640625" style="194" customWidth="1"/>
    <col min="12312" max="12312" width="7.140625" style="194" customWidth="1"/>
    <col min="12313" max="12313" width="8.140625" style="194" customWidth="1"/>
    <col min="12314" max="12314" width="7.640625" style="194" customWidth="1"/>
    <col min="12315" max="12316" width="7.7109375" style="194" customWidth="1"/>
    <col min="12317" max="12317" width="7.140625" style="194" customWidth="1"/>
    <col min="12318" max="12543" width="9.140625" style="194"/>
    <col min="12544" max="12544" width="4.35546875" style="194" customWidth="1"/>
    <col min="12545" max="12545" width="20.640625" style="194" customWidth="1"/>
    <col min="12546" max="12546" width="12.35546875" style="194" customWidth="1"/>
    <col min="12547" max="12547" width="12.640625" style="194" customWidth="1"/>
    <col min="12548" max="12548" width="3.85546875" style="194" customWidth="1"/>
    <col min="12549" max="12549" width="4.2109375" style="194" customWidth="1"/>
    <col min="12550" max="12550" width="4.140625" style="194" customWidth="1"/>
    <col min="12551" max="12551" width="4" style="194" customWidth="1"/>
    <col min="12552" max="12552" width="16.35546875" style="194" customWidth="1"/>
    <col min="12553" max="12553" width="5.640625" style="194" customWidth="1"/>
    <col min="12554" max="12554" width="8.7109375" style="194" customWidth="1"/>
    <col min="12555" max="12555" width="5.35546875" style="194" customWidth="1"/>
    <col min="12556" max="12556" width="4.35546875" style="194" customWidth="1"/>
    <col min="12557" max="12557" width="4.2109375" style="194" customWidth="1"/>
    <col min="12558" max="12558" width="3.140625" style="194" customWidth="1"/>
    <col min="12559" max="12559" width="4.640625" style="194" customWidth="1"/>
    <col min="12560" max="12560" width="4.35546875" style="194" customWidth="1"/>
    <col min="12561" max="12561" width="4" style="194" customWidth="1"/>
    <col min="12562" max="12562" width="3" style="194" customWidth="1"/>
    <col min="12563" max="12563" width="3.85546875" style="194" customWidth="1"/>
    <col min="12564" max="12564" width="4.35546875" style="194" customWidth="1"/>
    <col min="12565" max="12565" width="3.35546875" style="194" customWidth="1"/>
    <col min="12566" max="12566" width="4.85546875" style="194" customWidth="1"/>
    <col min="12567" max="12567" width="10.640625" style="194" customWidth="1"/>
    <col min="12568" max="12568" width="7.140625" style="194" customWidth="1"/>
    <col min="12569" max="12569" width="8.140625" style="194" customWidth="1"/>
    <col min="12570" max="12570" width="7.640625" style="194" customWidth="1"/>
    <col min="12571" max="12572" width="7.7109375" style="194" customWidth="1"/>
    <col min="12573" max="12573" width="7.140625" style="194" customWidth="1"/>
    <col min="12574" max="12799" width="9.140625" style="194"/>
    <col min="12800" max="12800" width="4.35546875" style="194" customWidth="1"/>
    <col min="12801" max="12801" width="20.640625" style="194" customWidth="1"/>
    <col min="12802" max="12802" width="12.35546875" style="194" customWidth="1"/>
    <col min="12803" max="12803" width="12.640625" style="194" customWidth="1"/>
    <col min="12804" max="12804" width="3.85546875" style="194" customWidth="1"/>
    <col min="12805" max="12805" width="4.2109375" style="194" customWidth="1"/>
    <col min="12806" max="12806" width="4.140625" style="194" customWidth="1"/>
    <col min="12807" max="12807" width="4" style="194" customWidth="1"/>
    <col min="12808" max="12808" width="16.35546875" style="194" customWidth="1"/>
    <col min="12809" max="12809" width="5.640625" style="194" customWidth="1"/>
    <col min="12810" max="12810" width="8.7109375" style="194" customWidth="1"/>
    <col min="12811" max="12811" width="5.35546875" style="194" customWidth="1"/>
    <col min="12812" max="12812" width="4.35546875" style="194" customWidth="1"/>
    <col min="12813" max="12813" width="4.2109375" style="194" customWidth="1"/>
    <col min="12814" max="12814" width="3.140625" style="194" customWidth="1"/>
    <col min="12815" max="12815" width="4.640625" style="194" customWidth="1"/>
    <col min="12816" max="12816" width="4.35546875" style="194" customWidth="1"/>
    <col min="12817" max="12817" width="4" style="194" customWidth="1"/>
    <col min="12818" max="12818" width="3" style="194" customWidth="1"/>
    <col min="12819" max="12819" width="3.85546875" style="194" customWidth="1"/>
    <col min="12820" max="12820" width="4.35546875" style="194" customWidth="1"/>
    <col min="12821" max="12821" width="3.35546875" style="194" customWidth="1"/>
    <col min="12822" max="12822" width="4.85546875" style="194" customWidth="1"/>
    <col min="12823" max="12823" width="10.640625" style="194" customWidth="1"/>
    <col min="12824" max="12824" width="7.140625" style="194" customWidth="1"/>
    <col min="12825" max="12825" width="8.140625" style="194" customWidth="1"/>
    <col min="12826" max="12826" width="7.640625" style="194" customWidth="1"/>
    <col min="12827" max="12828" width="7.7109375" style="194" customWidth="1"/>
    <col min="12829" max="12829" width="7.140625" style="194" customWidth="1"/>
    <col min="12830" max="13055" width="9.140625" style="194"/>
    <col min="13056" max="13056" width="4.35546875" style="194" customWidth="1"/>
    <col min="13057" max="13057" width="20.640625" style="194" customWidth="1"/>
    <col min="13058" max="13058" width="12.35546875" style="194" customWidth="1"/>
    <col min="13059" max="13059" width="12.640625" style="194" customWidth="1"/>
    <col min="13060" max="13060" width="3.85546875" style="194" customWidth="1"/>
    <col min="13061" max="13061" width="4.2109375" style="194" customWidth="1"/>
    <col min="13062" max="13062" width="4.140625" style="194" customWidth="1"/>
    <col min="13063" max="13063" width="4" style="194" customWidth="1"/>
    <col min="13064" max="13064" width="16.35546875" style="194" customWidth="1"/>
    <col min="13065" max="13065" width="5.640625" style="194" customWidth="1"/>
    <col min="13066" max="13066" width="8.7109375" style="194" customWidth="1"/>
    <col min="13067" max="13067" width="5.35546875" style="194" customWidth="1"/>
    <col min="13068" max="13068" width="4.35546875" style="194" customWidth="1"/>
    <col min="13069" max="13069" width="4.2109375" style="194" customWidth="1"/>
    <col min="13070" max="13070" width="3.140625" style="194" customWidth="1"/>
    <col min="13071" max="13071" width="4.640625" style="194" customWidth="1"/>
    <col min="13072" max="13072" width="4.35546875" style="194" customWidth="1"/>
    <col min="13073" max="13073" width="4" style="194" customWidth="1"/>
    <col min="13074" max="13074" width="3" style="194" customWidth="1"/>
    <col min="13075" max="13075" width="3.85546875" style="194" customWidth="1"/>
    <col min="13076" max="13076" width="4.35546875" style="194" customWidth="1"/>
    <col min="13077" max="13077" width="3.35546875" style="194" customWidth="1"/>
    <col min="13078" max="13078" width="4.85546875" style="194" customWidth="1"/>
    <col min="13079" max="13079" width="10.640625" style="194" customWidth="1"/>
    <col min="13080" max="13080" width="7.140625" style="194" customWidth="1"/>
    <col min="13081" max="13081" width="8.140625" style="194" customWidth="1"/>
    <col min="13082" max="13082" width="7.640625" style="194" customWidth="1"/>
    <col min="13083" max="13084" width="7.7109375" style="194" customWidth="1"/>
    <col min="13085" max="13085" width="7.140625" style="194" customWidth="1"/>
    <col min="13086" max="13311" width="9.140625" style="194"/>
    <col min="13312" max="13312" width="4.35546875" style="194" customWidth="1"/>
    <col min="13313" max="13313" width="20.640625" style="194" customWidth="1"/>
    <col min="13314" max="13314" width="12.35546875" style="194" customWidth="1"/>
    <col min="13315" max="13315" width="12.640625" style="194" customWidth="1"/>
    <col min="13316" max="13316" width="3.85546875" style="194" customWidth="1"/>
    <col min="13317" max="13317" width="4.2109375" style="194" customWidth="1"/>
    <col min="13318" max="13318" width="4.140625" style="194" customWidth="1"/>
    <col min="13319" max="13319" width="4" style="194" customWidth="1"/>
    <col min="13320" max="13320" width="16.35546875" style="194" customWidth="1"/>
    <col min="13321" max="13321" width="5.640625" style="194" customWidth="1"/>
    <col min="13322" max="13322" width="8.7109375" style="194" customWidth="1"/>
    <col min="13323" max="13323" width="5.35546875" style="194" customWidth="1"/>
    <col min="13324" max="13324" width="4.35546875" style="194" customWidth="1"/>
    <col min="13325" max="13325" width="4.2109375" style="194" customWidth="1"/>
    <col min="13326" max="13326" width="3.140625" style="194" customWidth="1"/>
    <col min="13327" max="13327" width="4.640625" style="194" customWidth="1"/>
    <col min="13328" max="13328" width="4.35546875" style="194" customWidth="1"/>
    <col min="13329" max="13329" width="4" style="194" customWidth="1"/>
    <col min="13330" max="13330" width="3" style="194" customWidth="1"/>
    <col min="13331" max="13331" width="3.85546875" style="194" customWidth="1"/>
    <col min="13332" max="13332" width="4.35546875" style="194" customWidth="1"/>
    <col min="13333" max="13333" width="3.35546875" style="194" customWidth="1"/>
    <col min="13334" max="13334" width="4.85546875" style="194" customWidth="1"/>
    <col min="13335" max="13335" width="10.640625" style="194" customWidth="1"/>
    <col min="13336" max="13336" width="7.140625" style="194" customWidth="1"/>
    <col min="13337" max="13337" width="8.140625" style="194" customWidth="1"/>
    <col min="13338" max="13338" width="7.640625" style="194" customWidth="1"/>
    <col min="13339" max="13340" width="7.7109375" style="194" customWidth="1"/>
    <col min="13341" max="13341" width="7.140625" style="194" customWidth="1"/>
    <col min="13342" max="13567" width="9.140625" style="194"/>
    <col min="13568" max="13568" width="4.35546875" style="194" customWidth="1"/>
    <col min="13569" max="13569" width="20.640625" style="194" customWidth="1"/>
    <col min="13570" max="13570" width="12.35546875" style="194" customWidth="1"/>
    <col min="13571" max="13571" width="12.640625" style="194" customWidth="1"/>
    <col min="13572" max="13572" width="3.85546875" style="194" customWidth="1"/>
    <col min="13573" max="13573" width="4.2109375" style="194" customWidth="1"/>
    <col min="13574" max="13574" width="4.140625" style="194" customWidth="1"/>
    <col min="13575" max="13575" width="4" style="194" customWidth="1"/>
    <col min="13576" max="13576" width="16.35546875" style="194" customWidth="1"/>
    <col min="13577" max="13577" width="5.640625" style="194" customWidth="1"/>
    <col min="13578" max="13578" width="8.7109375" style="194" customWidth="1"/>
    <col min="13579" max="13579" width="5.35546875" style="194" customWidth="1"/>
    <col min="13580" max="13580" width="4.35546875" style="194" customWidth="1"/>
    <col min="13581" max="13581" width="4.2109375" style="194" customWidth="1"/>
    <col min="13582" max="13582" width="3.140625" style="194" customWidth="1"/>
    <col min="13583" max="13583" width="4.640625" style="194" customWidth="1"/>
    <col min="13584" max="13584" width="4.35546875" style="194" customWidth="1"/>
    <col min="13585" max="13585" width="4" style="194" customWidth="1"/>
    <col min="13586" max="13586" width="3" style="194" customWidth="1"/>
    <col min="13587" max="13587" width="3.85546875" style="194" customWidth="1"/>
    <col min="13588" max="13588" width="4.35546875" style="194" customWidth="1"/>
    <col min="13589" max="13589" width="3.35546875" style="194" customWidth="1"/>
    <col min="13590" max="13590" width="4.85546875" style="194" customWidth="1"/>
    <col min="13591" max="13591" width="10.640625" style="194" customWidth="1"/>
    <col min="13592" max="13592" width="7.140625" style="194" customWidth="1"/>
    <col min="13593" max="13593" width="8.140625" style="194" customWidth="1"/>
    <col min="13594" max="13594" width="7.640625" style="194" customWidth="1"/>
    <col min="13595" max="13596" width="7.7109375" style="194" customWidth="1"/>
    <col min="13597" max="13597" width="7.140625" style="194" customWidth="1"/>
    <col min="13598" max="13823" width="9.140625" style="194"/>
    <col min="13824" max="13824" width="4.35546875" style="194" customWidth="1"/>
    <col min="13825" max="13825" width="20.640625" style="194" customWidth="1"/>
    <col min="13826" max="13826" width="12.35546875" style="194" customWidth="1"/>
    <col min="13827" max="13827" width="12.640625" style="194" customWidth="1"/>
    <col min="13828" max="13828" width="3.85546875" style="194" customWidth="1"/>
    <col min="13829" max="13829" width="4.2109375" style="194" customWidth="1"/>
    <col min="13830" max="13830" width="4.140625" style="194" customWidth="1"/>
    <col min="13831" max="13831" width="4" style="194" customWidth="1"/>
    <col min="13832" max="13832" width="16.35546875" style="194" customWidth="1"/>
    <col min="13833" max="13833" width="5.640625" style="194" customWidth="1"/>
    <col min="13834" max="13834" width="8.7109375" style="194" customWidth="1"/>
    <col min="13835" max="13835" width="5.35546875" style="194" customWidth="1"/>
    <col min="13836" max="13836" width="4.35546875" style="194" customWidth="1"/>
    <col min="13837" max="13837" width="4.2109375" style="194" customWidth="1"/>
    <col min="13838" max="13838" width="3.140625" style="194" customWidth="1"/>
    <col min="13839" max="13839" width="4.640625" style="194" customWidth="1"/>
    <col min="13840" max="13840" width="4.35546875" style="194" customWidth="1"/>
    <col min="13841" max="13841" width="4" style="194" customWidth="1"/>
    <col min="13842" max="13842" width="3" style="194" customWidth="1"/>
    <col min="13843" max="13843" width="3.85546875" style="194" customWidth="1"/>
    <col min="13844" max="13844" width="4.35546875" style="194" customWidth="1"/>
    <col min="13845" max="13845" width="3.35546875" style="194" customWidth="1"/>
    <col min="13846" max="13846" width="4.85546875" style="194" customWidth="1"/>
    <col min="13847" max="13847" width="10.640625" style="194" customWidth="1"/>
    <col min="13848" max="13848" width="7.140625" style="194" customWidth="1"/>
    <col min="13849" max="13849" width="8.140625" style="194" customWidth="1"/>
    <col min="13850" max="13850" width="7.640625" style="194" customWidth="1"/>
    <col min="13851" max="13852" width="7.7109375" style="194" customWidth="1"/>
    <col min="13853" max="13853" width="7.140625" style="194" customWidth="1"/>
    <col min="13854" max="14079" width="9.140625" style="194"/>
    <col min="14080" max="14080" width="4.35546875" style="194" customWidth="1"/>
    <col min="14081" max="14081" width="20.640625" style="194" customWidth="1"/>
    <col min="14082" max="14082" width="12.35546875" style="194" customWidth="1"/>
    <col min="14083" max="14083" width="12.640625" style="194" customWidth="1"/>
    <col min="14084" max="14084" width="3.85546875" style="194" customWidth="1"/>
    <col min="14085" max="14085" width="4.2109375" style="194" customWidth="1"/>
    <col min="14086" max="14086" width="4.140625" style="194" customWidth="1"/>
    <col min="14087" max="14087" width="4" style="194" customWidth="1"/>
    <col min="14088" max="14088" width="16.35546875" style="194" customWidth="1"/>
    <col min="14089" max="14089" width="5.640625" style="194" customWidth="1"/>
    <col min="14090" max="14090" width="8.7109375" style="194" customWidth="1"/>
    <col min="14091" max="14091" width="5.35546875" style="194" customWidth="1"/>
    <col min="14092" max="14092" width="4.35546875" style="194" customWidth="1"/>
    <col min="14093" max="14093" width="4.2109375" style="194" customWidth="1"/>
    <col min="14094" max="14094" width="3.140625" style="194" customWidth="1"/>
    <col min="14095" max="14095" width="4.640625" style="194" customWidth="1"/>
    <col min="14096" max="14096" width="4.35546875" style="194" customWidth="1"/>
    <col min="14097" max="14097" width="4" style="194" customWidth="1"/>
    <col min="14098" max="14098" width="3" style="194" customWidth="1"/>
    <col min="14099" max="14099" width="3.85546875" style="194" customWidth="1"/>
    <col min="14100" max="14100" width="4.35546875" style="194" customWidth="1"/>
    <col min="14101" max="14101" width="3.35546875" style="194" customWidth="1"/>
    <col min="14102" max="14102" width="4.85546875" style="194" customWidth="1"/>
    <col min="14103" max="14103" width="10.640625" style="194" customWidth="1"/>
    <col min="14104" max="14104" width="7.140625" style="194" customWidth="1"/>
    <col min="14105" max="14105" width="8.140625" style="194" customWidth="1"/>
    <col min="14106" max="14106" width="7.640625" style="194" customWidth="1"/>
    <col min="14107" max="14108" width="7.7109375" style="194" customWidth="1"/>
    <col min="14109" max="14109" width="7.140625" style="194" customWidth="1"/>
    <col min="14110" max="14335" width="9.140625" style="194"/>
    <col min="14336" max="14336" width="4.35546875" style="194" customWidth="1"/>
    <col min="14337" max="14337" width="20.640625" style="194" customWidth="1"/>
    <col min="14338" max="14338" width="12.35546875" style="194" customWidth="1"/>
    <col min="14339" max="14339" width="12.640625" style="194" customWidth="1"/>
    <col min="14340" max="14340" width="3.85546875" style="194" customWidth="1"/>
    <col min="14341" max="14341" width="4.2109375" style="194" customWidth="1"/>
    <col min="14342" max="14342" width="4.140625" style="194" customWidth="1"/>
    <col min="14343" max="14343" width="4" style="194" customWidth="1"/>
    <col min="14344" max="14344" width="16.35546875" style="194" customWidth="1"/>
    <col min="14345" max="14345" width="5.640625" style="194" customWidth="1"/>
    <col min="14346" max="14346" width="8.7109375" style="194" customWidth="1"/>
    <col min="14347" max="14347" width="5.35546875" style="194" customWidth="1"/>
    <col min="14348" max="14348" width="4.35546875" style="194" customWidth="1"/>
    <col min="14349" max="14349" width="4.2109375" style="194" customWidth="1"/>
    <col min="14350" max="14350" width="3.140625" style="194" customWidth="1"/>
    <col min="14351" max="14351" width="4.640625" style="194" customWidth="1"/>
    <col min="14352" max="14352" width="4.35546875" style="194" customWidth="1"/>
    <col min="14353" max="14353" width="4" style="194" customWidth="1"/>
    <col min="14354" max="14354" width="3" style="194" customWidth="1"/>
    <col min="14355" max="14355" width="3.85546875" style="194" customWidth="1"/>
    <col min="14356" max="14356" width="4.35546875" style="194" customWidth="1"/>
    <col min="14357" max="14357" width="3.35546875" style="194" customWidth="1"/>
    <col min="14358" max="14358" width="4.85546875" style="194" customWidth="1"/>
    <col min="14359" max="14359" width="10.640625" style="194" customWidth="1"/>
    <col min="14360" max="14360" width="7.140625" style="194" customWidth="1"/>
    <col min="14361" max="14361" width="8.140625" style="194" customWidth="1"/>
    <col min="14362" max="14362" width="7.640625" style="194" customWidth="1"/>
    <col min="14363" max="14364" width="7.7109375" style="194" customWidth="1"/>
    <col min="14365" max="14365" width="7.140625" style="194" customWidth="1"/>
    <col min="14366" max="14591" width="9.140625" style="194"/>
    <col min="14592" max="14592" width="4.35546875" style="194" customWidth="1"/>
    <col min="14593" max="14593" width="20.640625" style="194" customWidth="1"/>
    <col min="14594" max="14594" width="12.35546875" style="194" customWidth="1"/>
    <col min="14595" max="14595" width="12.640625" style="194" customWidth="1"/>
    <col min="14596" max="14596" width="3.85546875" style="194" customWidth="1"/>
    <col min="14597" max="14597" width="4.2109375" style="194" customWidth="1"/>
    <col min="14598" max="14598" width="4.140625" style="194" customWidth="1"/>
    <col min="14599" max="14599" width="4" style="194" customWidth="1"/>
    <col min="14600" max="14600" width="16.35546875" style="194" customWidth="1"/>
    <col min="14601" max="14601" width="5.640625" style="194" customWidth="1"/>
    <col min="14602" max="14602" width="8.7109375" style="194" customWidth="1"/>
    <col min="14603" max="14603" width="5.35546875" style="194" customWidth="1"/>
    <col min="14604" max="14604" width="4.35546875" style="194" customWidth="1"/>
    <col min="14605" max="14605" width="4.2109375" style="194" customWidth="1"/>
    <col min="14606" max="14606" width="3.140625" style="194" customWidth="1"/>
    <col min="14607" max="14607" width="4.640625" style="194" customWidth="1"/>
    <col min="14608" max="14608" width="4.35546875" style="194" customWidth="1"/>
    <col min="14609" max="14609" width="4" style="194" customWidth="1"/>
    <col min="14610" max="14610" width="3" style="194" customWidth="1"/>
    <col min="14611" max="14611" width="3.85546875" style="194" customWidth="1"/>
    <col min="14612" max="14612" width="4.35546875" style="194" customWidth="1"/>
    <col min="14613" max="14613" width="3.35546875" style="194" customWidth="1"/>
    <col min="14614" max="14614" width="4.85546875" style="194" customWidth="1"/>
    <col min="14615" max="14615" width="10.640625" style="194" customWidth="1"/>
    <col min="14616" max="14616" width="7.140625" style="194" customWidth="1"/>
    <col min="14617" max="14617" width="8.140625" style="194" customWidth="1"/>
    <col min="14618" max="14618" width="7.640625" style="194" customWidth="1"/>
    <col min="14619" max="14620" width="7.7109375" style="194" customWidth="1"/>
    <col min="14621" max="14621" width="7.140625" style="194" customWidth="1"/>
    <col min="14622" max="14847" width="9.140625" style="194"/>
    <col min="14848" max="14848" width="4.35546875" style="194" customWidth="1"/>
    <col min="14849" max="14849" width="20.640625" style="194" customWidth="1"/>
    <col min="14850" max="14850" width="12.35546875" style="194" customWidth="1"/>
    <col min="14851" max="14851" width="12.640625" style="194" customWidth="1"/>
    <col min="14852" max="14852" width="3.85546875" style="194" customWidth="1"/>
    <col min="14853" max="14853" width="4.2109375" style="194" customWidth="1"/>
    <col min="14854" max="14854" width="4.140625" style="194" customWidth="1"/>
    <col min="14855" max="14855" width="4" style="194" customWidth="1"/>
    <col min="14856" max="14856" width="16.35546875" style="194" customWidth="1"/>
    <col min="14857" max="14857" width="5.640625" style="194" customWidth="1"/>
    <col min="14858" max="14858" width="8.7109375" style="194" customWidth="1"/>
    <col min="14859" max="14859" width="5.35546875" style="194" customWidth="1"/>
    <col min="14860" max="14860" width="4.35546875" style="194" customWidth="1"/>
    <col min="14861" max="14861" width="4.2109375" style="194" customWidth="1"/>
    <col min="14862" max="14862" width="3.140625" style="194" customWidth="1"/>
    <col min="14863" max="14863" width="4.640625" style="194" customWidth="1"/>
    <col min="14864" max="14864" width="4.35546875" style="194" customWidth="1"/>
    <col min="14865" max="14865" width="4" style="194" customWidth="1"/>
    <col min="14866" max="14866" width="3" style="194" customWidth="1"/>
    <col min="14867" max="14867" width="3.85546875" style="194" customWidth="1"/>
    <col min="14868" max="14868" width="4.35546875" style="194" customWidth="1"/>
    <col min="14869" max="14869" width="3.35546875" style="194" customWidth="1"/>
    <col min="14870" max="14870" width="4.85546875" style="194" customWidth="1"/>
    <col min="14871" max="14871" width="10.640625" style="194" customWidth="1"/>
    <col min="14872" max="14872" width="7.140625" style="194" customWidth="1"/>
    <col min="14873" max="14873" width="8.140625" style="194" customWidth="1"/>
    <col min="14874" max="14874" width="7.640625" style="194" customWidth="1"/>
    <col min="14875" max="14876" width="7.7109375" style="194" customWidth="1"/>
    <col min="14877" max="14877" width="7.140625" style="194" customWidth="1"/>
    <col min="14878" max="15103" width="9.140625" style="194"/>
    <col min="15104" max="15104" width="4.35546875" style="194" customWidth="1"/>
    <col min="15105" max="15105" width="20.640625" style="194" customWidth="1"/>
    <col min="15106" max="15106" width="12.35546875" style="194" customWidth="1"/>
    <col min="15107" max="15107" width="12.640625" style="194" customWidth="1"/>
    <col min="15108" max="15108" width="3.85546875" style="194" customWidth="1"/>
    <col min="15109" max="15109" width="4.2109375" style="194" customWidth="1"/>
    <col min="15110" max="15110" width="4.140625" style="194" customWidth="1"/>
    <col min="15111" max="15111" width="4" style="194" customWidth="1"/>
    <col min="15112" max="15112" width="16.35546875" style="194" customWidth="1"/>
    <col min="15113" max="15113" width="5.640625" style="194" customWidth="1"/>
    <col min="15114" max="15114" width="8.7109375" style="194" customWidth="1"/>
    <col min="15115" max="15115" width="5.35546875" style="194" customWidth="1"/>
    <col min="15116" max="15116" width="4.35546875" style="194" customWidth="1"/>
    <col min="15117" max="15117" width="4.2109375" style="194" customWidth="1"/>
    <col min="15118" max="15118" width="3.140625" style="194" customWidth="1"/>
    <col min="15119" max="15119" width="4.640625" style="194" customWidth="1"/>
    <col min="15120" max="15120" width="4.35546875" style="194" customWidth="1"/>
    <col min="15121" max="15121" width="4" style="194" customWidth="1"/>
    <col min="15122" max="15122" width="3" style="194" customWidth="1"/>
    <col min="15123" max="15123" width="3.85546875" style="194" customWidth="1"/>
    <col min="15124" max="15124" width="4.35546875" style="194" customWidth="1"/>
    <col min="15125" max="15125" width="3.35546875" style="194" customWidth="1"/>
    <col min="15126" max="15126" width="4.85546875" style="194" customWidth="1"/>
    <col min="15127" max="15127" width="10.640625" style="194" customWidth="1"/>
    <col min="15128" max="15128" width="7.140625" style="194" customWidth="1"/>
    <col min="15129" max="15129" width="8.140625" style="194" customWidth="1"/>
    <col min="15130" max="15130" width="7.640625" style="194" customWidth="1"/>
    <col min="15131" max="15132" width="7.7109375" style="194" customWidth="1"/>
    <col min="15133" max="15133" width="7.140625" style="194" customWidth="1"/>
    <col min="15134" max="15359" width="9.140625" style="194"/>
    <col min="15360" max="15360" width="4.35546875" style="194" customWidth="1"/>
    <col min="15361" max="15361" width="20.640625" style="194" customWidth="1"/>
    <col min="15362" max="15362" width="12.35546875" style="194" customWidth="1"/>
    <col min="15363" max="15363" width="12.640625" style="194" customWidth="1"/>
    <col min="15364" max="15364" width="3.85546875" style="194" customWidth="1"/>
    <col min="15365" max="15365" width="4.2109375" style="194" customWidth="1"/>
    <col min="15366" max="15366" width="4.140625" style="194" customWidth="1"/>
    <col min="15367" max="15367" width="4" style="194" customWidth="1"/>
    <col min="15368" max="15368" width="16.35546875" style="194" customWidth="1"/>
    <col min="15369" max="15369" width="5.640625" style="194" customWidth="1"/>
    <col min="15370" max="15370" width="8.7109375" style="194" customWidth="1"/>
    <col min="15371" max="15371" width="5.35546875" style="194" customWidth="1"/>
    <col min="15372" max="15372" width="4.35546875" style="194" customWidth="1"/>
    <col min="15373" max="15373" width="4.2109375" style="194" customWidth="1"/>
    <col min="15374" max="15374" width="3.140625" style="194" customWidth="1"/>
    <col min="15375" max="15375" width="4.640625" style="194" customWidth="1"/>
    <col min="15376" max="15376" width="4.35546875" style="194" customWidth="1"/>
    <col min="15377" max="15377" width="4" style="194" customWidth="1"/>
    <col min="15378" max="15378" width="3" style="194" customWidth="1"/>
    <col min="15379" max="15379" width="3.85546875" style="194" customWidth="1"/>
    <col min="15380" max="15380" width="4.35546875" style="194" customWidth="1"/>
    <col min="15381" max="15381" width="3.35546875" style="194" customWidth="1"/>
    <col min="15382" max="15382" width="4.85546875" style="194" customWidth="1"/>
    <col min="15383" max="15383" width="10.640625" style="194" customWidth="1"/>
    <col min="15384" max="15384" width="7.140625" style="194" customWidth="1"/>
    <col min="15385" max="15385" width="8.140625" style="194" customWidth="1"/>
    <col min="15386" max="15386" width="7.640625" style="194" customWidth="1"/>
    <col min="15387" max="15388" width="7.7109375" style="194" customWidth="1"/>
    <col min="15389" max="15389" width="7.140625" style="194" customWidth="1"/>
    <col min="15390" max="15615" width="9.140625" style="194"/>
    <col min="15616" max="15616" width="4.35546875" style="194" customWidth="1"/>
    <col min="15617" max="15617" width="20.640625" style="194" customWidth="1"/>
    <col min="15618" max="15618" width="12.35546875" style="194" customWidth="1"/>
    <col min="15619" max="15619" width="12.640625" style="194" customWidth="1"/>
    <col min="15620" max="15620" width="3.85546875" style="194" customWidth="1"/>
    <col min="15621" max="15621" width="4.2109375" style="194" customWidth="1"/>
    <col min="15622" max="15622" width="4.140625" style="194" customWidth="1"/>
    <col min="15623" max="15623" width="4" style="194" customWidth="1"/>
    <col min="15624" max="15624" width="16.35546875" style="194" customWidth="1"/>
    <col min="15625" max="15625" width="5.640625" style="194" customWidth="1"/>
    <col min="15626" max="15626" width="8.7109375" style="194" customWidth="1"/>
    <col min="15627" max="15627" width="5.35546875" style="194" customWidth="1"/>
    <col min="15628" max="15628" width="4.35546875" style="194" customWidth="1"/>
    <col min="15629" max="15629" width="4.2109375" style="194" customWidth="1"/>
    <col min="15630" max="15630" width="3.140625" style="194" customWidth="1"/>
    <col min="15631" max="15631" width="4.640625" style="194" customWidth="1"/>
    <col min="15632" max="15632" width="4.35546875" style="194" customWidth="1"/>
    <col min="15633" max="15633" width="4" style="194" customWidth="1"/>
    <col min="15634" max="15634" width="3" style="194" customWidth="1"/>
    <col min="15635" max="15635" width="3.85546875" style="194" customWidth="1"/>
    <col min="15636" max="15636" width="4.35546875" style="194" customWidth="1"/>
    <col min="15637" max="15637" width="3.35546875" style="194" customWidth="1"/>
    <col min="15638" max="15638" width="4.85546875" style="194" customWidth="1"/>
    <col min="15639" max="15639" width="10.640625" style="194" customWidth="1"/>
    <col min="15640" max="15640" width="7.140625" style="194" customWidth="1"/>
    <col min="15641" max="15641" width="8.140625" style="194" customWidth="1"/>
    <col min="15642" max="15642" width="7.640625" style="194" customWidth="1"/>
    <col min="15643" max="15644" width="7.7109375" style="194" customWidth="1"/>
    <col min="15645" max="15645" width="7.140625" style="194" customWidth="1"/>
    <col min="15646" max="15871" width="9.140625" style="194"/>
    <col min="15872" max="15872" width="4.35546875" style="194" customWidth="1"/>
    <col min="15873" max="15873" width="20.640625" style="194" customWidth="1"/>
    <col min="15874" max="15874" width="12.35546875" style="194" customWidth="1"/>
    <col min="15875" max="15875" width="12.640625" style="194" customWidth="1"/>
    <col min="15876" max="15876" width="3.85546875" style="194" customWidth="1"/>
    <col min="15877" max="15877" width="4.2109375" style="194" customWidth="1"/>
    <col min="15878" max="15878" width="4.140625" style="194" customWidth="1"/>
    <col min="15879" max="15879" width="4" style="194" customWidth="1"/>
    <col min="15880" max="15880" width="16.35546875" style="194" customWidth="1"/>
    <col min="15881" max="15881" width="5.640625" style="194" customWidth="1"/>
    <col min="15882" max="15882" width="8.7109375" style="194" customWidth="1"/>
    <col min="15883" max="15883" width="5.35546875" style="194" customWidth="1"/>
    <col min="15884" max="15884" width="4.35546875" style="194" customWidth="1"/>
    <col min="15885" max="15885" width="4.2109375" style="194" customWidth="1"/>
    <col min="15886" max="15886" width="3.140625" style="194" customWidth="1"/>
    <col min="15887" max="15887" width="4.640625" style="194" customWidth="1"/>
    <col min="15888" max="15888" width="4.35546875" style="194" customWidth="1"/>
    <col min="15889" max="15889" width="4" style="194" customWidth="1"/>
    <col min="15890" max="15890" width="3" style="194" customWidth="1"/>
    <col min="15891" max="15891" width="3.85546875" style="194" customWidth="1"/>
    <col min="15892" max="15892" width="4.35546875" style="194" customWidth="1"/>
    <col min="15893" max="15893" width="3.35546875" style="194" customWidth="1"/>
    <col min="15894" max="15894" width="4.85546875" style="194" customWidth="1"/>
    <col min="15895" max="15895" width="10.640625" style="194" customWidth="1"/>
    <col min="15896" max="15896" width="7.140625" style="194" customWidth="1"/>
    <col min="15897" max="15897" width="8.140625" style="194" customWidth="1"/>
    <col min="15898" max="15898" width="7.640625" style="194" customWidth="1"/>
    <col min="15899" max="15900" width="7.7109375" style="194" customWidth="1"/>
    <col min="15901" max="15901" width="7.140625" style="194" customWidth="1"/>
    <col min="15902" max="16127" width="9.140625" style="194"/>
    <col min="16128" max="16128" width="4.35546875" style="194" customWidth="1"/>
    <col min="16129" max="16129" width="20.640625" style="194" customWidth="1"/>
    <col min="16130" max="16130" width="12.35546875" style="194" customWidth="1"/>
    <col min="16131" max="16131" width="12.640625" style="194" customWidth="1"/>
    <col min="16132" max="16132" width="3.85546875" style="194" customWidth="1"/>
    <col min="16133" max="16133" width="4.2109375" style="194" customWidth="1"/>
    <col min="16134" max="16134" width="4.140625" style="194" customWidth="1"/>
    <col min="16135" max="16135" width="4" style="194" customWidth="1"/>
    <col min="16136" max="16136" width="16.35546875" style="194" customWidth="1"/>
    <col min="16137" max="16137" width="5.640625" style="194" customWidth="1"/>
    <col min="16138" max="16138" width="8.7109375" style="194" customWidth="1"/>
    <col min="16139" max="16139" width="5.35546875" style="194" customWidth="1"/>
    <col min="16140" max="16140" width="4.35546875" style="194" customWidth="1"/>
    <col min="16141" max="16141" width="4.2109375" style="194" customWidth="1"/>
    <col min="16142" max="16142" width="3.140625" style="194" customWidth="1"/>
    <col min="16143" max="16143" width="4.640625" style="194" customWidth="1"/>
    <col min="16144" max="16144" width="4.35546875" style="194" customWidth="1"/>
    <col min="16145" max="16145" width="4" style="194" customWidth="1"/>
    <col min="16146" max="16146" width="3" style="194" customWidth="1"/>
    <col min="16147" max="16147" width="3.85546875" style="194" customWidth="1"/>
    <col min="16148" max="16148" width="4.35546875" style="194" customWidth="1"/>
    <col min="16149" max="16149" width="3.35546875" style="194" customWidth="1"/>
    <col min="16150" max="16150" width="4.85546875" style="194" customWidth="1"/>
    <col min="16151" max="16151" width="10.640625" style="194" customWidth="1"/>
    <col min="16152" max="16152" width="7.140625" style="194" customWidth="1"/>
    <col min="16153" max="16153" width="8.140625" style="194" customWidth="1"/>
    <col min="16154" max="16154" width="7.640625" style="194" customWidth="1"/>
    <col min="16155" max="16156" width="7.7109375" style="194" customWidth="1"/>
    <col min="16157" max="16157" width="7.140625" style="194" customWidth="1"/>
    <col min="16158" max="16384" width="9.140625" style="194"/>
  </cols>
  <sheetData>
    <row r="1" spans="1:31" s="184" customFormat="1" ht="27">
      <c r="D1" s="3002" t="s">
        <v>437</v>
      </c>
      <c r="E1" s="3002"/>
      <c r="F1" s="3002"/>
      <c r="G1" s="3002"/>
      <c r="H1" s="3002"/>
      <c r="I1" s="3002"/>
      <c r="J1" s="3002"/>
      <c r="K1" s="3002"/>
      <c r="L1" s="3002"/>
      <c r="M1" s="3002"/>
      <c r="N1" s="3002"/>
      <c r="O1" s="3002"/>
      <c r="P1" s="3002"/>
      <c r="Q1" s="3002"/>
      <c r="R1" s="3002"/>
      <c r="S1" s="3002"/>
      <c r="T1" s="3002"/>
      <c r="U1" s="3002"/>
      <c r="V1" s="3002"/>
      <c r="W1" s="3002"/>
      <c r="X1" s="3002"/>
      <c r="Y1" s="3002"/>
      <c r="Z1" s="3002"/>
      <c r="AA1" s="3002"/>
      <c r="AB1" s="3002"/>
    </row>
    <row r="2" spans="1:31" s="184" customFormat="1" ht="20.25" customHeight="1">
      <c r="D2" s="185" t="s">
        <v>0</v>
      </c>
      <c r="E2" s="186" t="s">
        <v>1</v>
      </c>
      <c r="G2" s="187" t="s">
        <v>238</v>
      </c>
      <c r="I2" s="188"/>
      <c r="J2" s="189"/>
    </row>
    <row r="3" spans="1:31" s="184" customFormat="1" ht="19.5" customHeight="1">
      <c r="D3" s="190" t="s">
        <v>2</v>
      </c>
      <c r="E3" s="190"/>
      <c r="F3" s="190"/>
      <c r="G3" s="190"/>
      <c r="H3" s="190"/>
      <c r="I3" s="190"/>
      <c r="J3" s="190"/>
      <c r="K3" s="190"/>
      <c r="L3" s="190"/>
      <c r="M3" s="190"/>
      <c r="N3" s="190"/>
      <c r="O3" s="190"/>
      <c r="P3" s="190"/>
      <c r="Q3" s="190"/>
      <c r="R3" s="190"/>
      <c r="S3" s="190"/>
      <c r="T3" s="190"/>
      <c r="U3" s="190"/>
      <c r="V3" s="190"/>
    </row>
    <row r="4" spans="1:31" s="184" customFormat="1" ht="19.5" customHeight="1">
      <c r="D4" s="190" t="s">
        <v>187</v>
      </c>
      <c r="E4" s="190"/>
      <c r="F4" s="190"/>
      <c r="G4" s="190"/>
      <c r="H4" s="190"/>
      <c r="I4" s="190"/>
      <c r="J4" s="190"/>
      <c r="K4" s="190"/>
      <c r="R4" s="190"/>
      <c r="S4" s="190"/>
      <c r="T4" s="190"/>
      <c r="U4" s="190"/>
      <c r="V4" s="190"/>
    </row>
    <row r="5" spans="1:31" s="184" customFormat="1" ht="19.5" customHeight="1">
      <c r="D5" s="185" t="s">
        <v>188</v>
      </c>
      <c r="E5" s="190"/>
      <c r="F5" s="190"/>
      <c r="G5" s="190"/>
      <c r="H5" s="190"/>
      <c r="I5" s="190"/>
      <c r="J5" s="190"/>
      <c r="K5" s="190" t="s">
        <v>3</v>
      </c>
      <c r="M5" s="438" t="s">
        <v>37</v>
      </c>
      <c r="N5" s="431" t="s">
        <v>11</v>
      </c>
      <c r="O5" s="433" t="s">
        <v>22</v>
      </c>
      <c r="P5" s="433" t="s">
        <v>23</v>
      </c>
      <c r="Q5" s="433" t="s">
        <v>24</v>
      </c>
      <c r="R5" s="433" t="s">
        <v>25</v>
      </c>
      <c r="S5" s="433" t="s">
        <v>26</v>
      </c>
      <c r="T5" s="433" t="s">
        <v>27</v>
      </c>
      <c r="U5" s="433" t="s">
        <v>28</v>
      </c>
      <c r="V5" s="433" t="s">
        <v>29</v>
      </c>
      <c r="W5" s="433" t="s">
        <v>30</v>
      </c>
      <c r="X5" s="433" t="s">
        <v>31</v>
      </c>
      <c r="Y5" s="433" t="s">
        <v>32</v>
      </c>
      <c r="Z5" s="433" t="s">
        <v>33</v>
      </c>
      <c r="AA5" s="2053" t="s">
        <v>2287</v>
      </c>
      <c r="AB5" s="2053" t="s">
        <v>2288</v>
      </c>
      <c r="AC5" s="2053" t="s">
        <v>2289</v>
      </c>
      <c r="AD5" s="2053" t="s">
        <v>2290</v>
      </c>
      <c r="AE5" s="2053" t="s">
        <v>2291</v>
      </c>
    </row>
    <row r="6" spans="1:31" s="184" customFormat="1" ht="19.5" customHeight="1">
      <c r="D6" s="190" t="s">
        <v>4</v>
      </c>
      <c r="E6" s="190"/>
      <c r="F6" s="190"/>
      <c r="G6" s="190" t="s">
        <v>5</v>
      </c>
      <c r="H6" s="190"/>
      <c r="I6" s="190"/>
      <c r="J6" s="190"/>
      <c r="K6" s="190"/>
      <c r="M6" s="2873">
        <v>4</v>
      </c>
      <c r="N6" s="432">
        <f>SUM(N11:N72)</f>
        <v>215325</v>
      </c>
      <c r="O6" s="432">
        <f>O11+O19+O56+O61</f>
        <v>0</v>
      </c>
      <c r="P6" s="432">
        <f t="shared" ref="P6:Z6" si="0">P11+P19+P56+P61</f>
        <v>8400</v>
      </c>
      <c r="Q6" s="432">
        <f t="shared" si="0"/>
        <v>30675</v>
      </c>
      <c r="R6" s="432">
        <f t="shared" si="0"/>
        <v>40800</v>
      </c>
      <c r="S6" s="432">
        <f t="shared" si="0"/>
        <v>8400</v>
      </c>
      <c r="T6" s="432">
        <f t="shared" si="0"/>
        <v>31875</v>
      </c>
      <c r="U6" s="432">
        <f t="shared" si="0"/>
        <v>0</v>
      </c>
      <c r="V6" s="432">
        <f t="shared" si="0"/>
        <v>16275</v>
      </c>
      <c r="W6" s="432">
        <f t="shared" si="0"/>
        <v>30825</v>
      </c>
      <c r="X6" s="432">
        <f t="shared" si="0"/>
        <v>16875</v>
      </c>
      <c r="Y6" s="432">
        <f t="shared" si="0"/>
        <v>13800</v>
      </c>
      <c r="Z6" s="432">
        <f t="shared" si="0"/>
        <v>17400</v>
      </c>
      <c r="AA6" s="2058">
        <f>N11+N19+N56+N61</f>
        <v>215325</v>
      </c>
      <c r="AB6" s="2058"/>
      <c r="AC6" s="2059"/>
      <c r="AD6" s="2060"/>
      <c r="AE6" s="2058"/>
    </row>
    <row r="7" spans="1:31" s="184" customFormat="1" ht="19.5" customHeight="1">
      <c r="D7" s="191"/>
      <c r="E7" s="190"/>
      <c r="F7" s="190"/>
      <c r="G7" s="190" t="s">
        <v>3</v>
      </c>
      <c r="H7" s="190"/>
      <c r="I7" s="190"/>
      <c r="J7" s="190"/>
      <c r="K7" s="190"/>
      <c r="M7" s="436"/>
      <c r="N7" s="434"/>
      <c r="O7" s="435"/>
      <c r="P7" s="435"/>
      <c r="Q7" s="435">
        <f>O6+P6+Q6</f>
        <v>39075</v>
      </c>
      <c r="R7" s="435"/>
      <c r="S7" s="435"/>
      <c r="T7" s="435">
        <f>R6+S6+T6</f>
        <v>81075</v>
      </c>
      <c r="U7" s="435"/>
      <c r="V7" s="435"/>
      <c r="W7" s="435">
        <f>U6+V6+W6</f>
        <v>47100</v>
      </c>
      <c r="X7" s="435"/>
      <c r="Y7" s="435"/>
      <c r="Z7" s="435">
        <f>X6+Y6+Z6</f>
        <v>48075</v>
      </c>
    </row>
    <row r="8" spans="1:31" ht="25.5" customHeight="1">
      <c r="A8" s="192" t="s">
        <v>34</v>
      </c>
      <c r="B8" s="193"/>
      <c r="C8" s="193"/>
      <c r="D8" s="3153" t="s">
        <v>6</v>
      </c>
      <c r="E8" s="3156" t="s">
        <v>7</v>
      </c>
      <c r="F8" s="3156" t="s">
        <v>8</v>
      </c>
      <c r="G8" s="3156" t="s">
        <v>9</v>
      </c>
      <c r="H8" s="3159" t="s">
        <v>10</v>
      </c>
      <c r="I8" s="3160"/>
      <c r="J8" s="3160"/>
      <c r="K8" s="3161"/>
      <c r="L8" s="3165" t="s">
        <v>11</v>
      </c>
      <c r="M8" s="3166"/>
      <c r="N8" s="3169" t="s">
        <v>12</v>
      </c>
      <c r="O8" s="3172" t="s">
        <v>13</v>
      </c>
      <c r="P8" s="3172"/>
      <c r="Q8" s="3172"/>
      <c r="R8" s="3172"/>
      <c r="S8" s="3172"/>
      <c r="T8" s="3172"/>
      <c r="U8" s="3172"/>
      <c r="V8" s="3172"/>
      <c r="W8" s="3172"/>
      <c r="X8" s="3172"/>
      <c r="Y8" s="3172"/>
      <c r="Z8" s="3172"/>
      <c r="AA8" s="3156" t="s">
        <v>14</v>
      </c>
      <c r="AB8" s="3173" t="s">
        <v>15</v>
      </c>
    </row>
    <row r="9" spans="1:31">
      <c r="A9" s="195"/>
      <c r="B9" s="196"/>
      <c r="C9" s="196"/>
      <c r="D9" s="3154"/>
      <c r="E9" s="3157"/>
      <c r="F9" s="3157"/>
      <c r="G9" s="3157"/>
      <c r="H9" s="3162"/>
      <c r="I9" s="3163"/>
      <c r="J9" s="3163"/>
      <c r="K9" s="3164"/>
      <c r="L9" s="3167"/>
      <c r="M9" s="3168"/>
      <c r="N9" s="3170"/>
      <c r="O9" s="3172" t="s">
        <v>16</v>
      </c>
      <c r="P9" s="3172"/>
      <c r="Q9" s="3172"/>
      <c r="R9" s="3172" t="s">
        <v>17</v>
      </c>
      <c r="S9" s="3172"/>
      <c r="T9" s="3172"/>
      <c r="U9" s="3172" t="s">
        <v>18</v>
      </c>
      <c r="V9" s="3172"/>
      <c r="W9" s="3172"/>
      <c r="X9" s="3172" t="s">
        <v>19</v>
      </c>
      <c r="Y9" s="3172"/>
      <c r="Z9" s="3172"/>
      <c r="AA9" s="3157"/>
      <c r="AB9" s="3173"/>
    </row>
    <row r="10" spans="1:31">
      <c r="A10" s="197" t="s">
        <v>36</v>
      </c>
      <c r="B10" s="197" t="s">
        <v>35</v>
      </c>
      <c r="C10" s="198" t="s">
        <v>37</v>
      </c>
      <c r="D10" s="3155"/>
      <c r="E10" s="3158"/>
      <c r="F10" s="3158"/>
      <c r="G10" s="3158"/>
      <c r="H10" s="199">
        <v>1</v>
      </c>
      <c r="I10" s="199">
        <v>2</v>
      </c>
      <c r="J10" s="199">
        <v>3</v>
      </c>
      <c r="K10" s="199">
        <v>4</v>
      </c>
      <c r="L10" s="200" t="s">
        <v>20</v>
      </c>
      <c r="M10" s="201" t="s">
        <v>21</v>
      </c>
      <c r="N10" s="3171"/>
      <c r="O10" s="202" t="s">
        <v>22</v>
      </c>
      <c r="P10" s="202" t="s">
        <v>23</v>
      </c>
      <c r="Q10" s="202" t="s">
        <v>24</v>
      </c>
      <c r="R10" s="202" t="s">
        <v>25</v>
      </c>
      <c r="S10" s="202" t="s">
        <v>26</v>
      </c>
      <c r="T10" s="202" t="s">
        <v>27</v>
      </c>
      <c r="U10" s="202" t="s">
        <v>28</v>
      </c>
      <c r="V10" s="202" t="s">
        <v>29</v>
      </c>
      <c r="W10" s="202" t="s">
        <v>30</v>
      </c>
      <c r="X10" s="202" t="s">
        <v>31</v>
      </c>
      <c r="Y10" s="202" t="s">
        <v>32</v>
      </c>
      <c r="Z10" s="202" t="s">
        <v>33</v>
      </c>
      <c r="AA10" s="3158"/>
      <c r="AB10" s="3173"/>
    </row>
    <row r="11" spans="1:31" ht="18">
      <c r="A11" s="399">
        <v>4</v>
      </c>
      <c r="B11" s="400">
        <v>11</v>
      </c>
      <c r="C11" s="401">
        <v>32</v>
      </c>
      <c r="D11" s="402">
        <v>1</v>
      </c>
      <c r="E11" s="403" t="s">
        <v>438</v>
      </c>
      <c r="F11" s="404"/>
      <c r="G11" s="405"/>
      <c r="H11" s="406"/>
      <c r="I11" s="407"/>
      <c r="J11" s="407"/>
      <c r="K11" s="407"/>
      <c r="L11" s="408"/>
      <c r="M11" s="409"/>
      <c r="N11" s="410">
        <f>SUM(M12:M18)</f>
        <v>41100</v>
      </c>
      <c r="O11" s="411">
        <f t="shared" ref="O11:Z11" si="1">SUM(O12:O18)</f>
        <v>0</v>
      </c>
      <c r="P11" s="411">
        <f t="shared" si="1"/>
        <v>0</v>
      </c>
      <c r="Q11" s="411">
        <f t="shared" si="1"/>
        <v>10275</v>
      </c>
      <c r="R11" s="411">
        <f t="shared" si="1"/>
        <v>4800</v>
      </c>
      <c r="S11" s="411">
        <f t="shared" si="1"/>
        <v>0</v>
      </c>
      <c r="T11" s="411">
        <f t="shared" si="1"/>
        <v>7875</v>
      </c>
      <c r="U11" s="411">
        <f t="shared" si="1"/>
        <v>0</v>
      </c>
      <c r="V11" s="411">
        <f t="shared" si="1"/>
        <v>7875</v>
      </c>
      <c r="W11" s="411">
        <f t="shared" si="1"/>
        <v>0</v>
      </c>
      <c r="X11" s="411">
        <f t="shared" si="1"/>
        <v>7875</v>
      </c>
      <c r="Y11" s="411">
        <f t="shared" si="1"/>
        <v>2400</v>
      </c>
      <c r="Z11" s="411">
        <f t="shared" si="1"/>
        <v>0</v>
      </c>
      <c r="AA11" s="2417" t="s">
        <v>1327</v>
      </c>
      <c r="AB11" s="2418" t="s">
        <v>280</v>
      </c>
    </row>
    <row r="12" spans="1:31" ht="18">
      <c r="A12" s="203"/>
      <c r="B12" s="203"/>
      <c r="C12" s="203"/>
      <c r="D12" s="204"/>
      <c r="E12" s="3134" t="s">
        <v>439</v>
      </c>
      <c r="F12" s="205"/>
      <c r="G12" s="3134" t="s">
        <v>440</v>
      </c>
      <c r="H12" s="206" t="s">
        <v>239</v>
      </c>
      <c r="I12" s="206"/>
      <c r="J12" s="206"/>
      <c r="K12" s="206" t="s">
        <v>239</v>
      </c>
      <c r="L12" s="207" t="s">
        <v>441</v>
      </c>
      <c r="M12" s="208">
        <v>2800</v>
      </c>
      <c r="N12" s="209"/>
      <c r="O12" s="210"/>
      <c r="P12" s="210"/>
      <c r="Q12" s="210">
        <v>1400</v>
      </c>
      <c r="R12" s="210"/>
      <c r="S12" s="210"/>
      <c r="T12" s="210"/>
      <c r="U12" s="210"/>
      <c r="V12" s="210"/>
      <c r="W12" s="210"/>
      <c r="X12" s="210"/>
      <c r="Y12" s="210">
        <v>1400</v>
      </c>
      <c r="Z12" s="208"/>
      <c r="AA12" s="211" t="s">
        <v>442</v>
      </c>
      <c r="AB12" s="212"/>
    </row>
    <row r="13" spans="1:31" ht="72.900000000000006" customHeight="1">
      <c r="A13" s="213"/>
      <c r="B13" s="213"/>
      <c r="C13" s="195"/>
      <c r="D13" s="214"/>
      <c r="E13" s="3135"/>
      <c r="F13" s="215"/>
      <c r="G13" s="3135"/>
      <c r="H13" s="216"/>
      <c r="I13" s="216"/>
      <c r="J13" s="216"/>
      <c r="K13" s="216"/>
      <c r="L13" s="217" t="s">
        <v>443</v>
      </c>
      <c r="M13" s="218">
        <v>2000</v>
      </c>
      <c r="N13" s="219"/>
      <c r="O13" s="220"/>
      <c r="P13" s="220"/>
      <c r="Q13" s="220">
        <v>1000</v>
      </c>
      <c r="R13" s="220"/>
      <c r="S13" s="220"/>
      <c r="T13" s="220"/>
      <c r="U13" s="220"/>
      <c r="V13" s="220"/>
      <c r="W13" s="220"/>
      <c r="X13" s="220"/>
      <c r="Y13" s="220">
        <v>1000</v>
      </c>
      <c r="Z13" s="218"/>
      <c r="AA13" s="221" t="s">
        <v>442</v>
      </c>
      <c r="AB13" s="222"/>
    </row>
    <row r="14" spans="1:31" ht="54">
      <c r="A14" s="223"/>
      <c r="B14" s="223"/>
      <c r="C14" s="224"/>
      <c r="D14" s="204"/>
      <c r="E14" s="225" t="s">
        <v>444</v>
      </c>
      <c r="F14" s="205"/>
      <c r="G14" s="226" t="s">
        <v>445</v>
      </c>
      <c r="H14" s="206"/>
      <c r="I14" s="206" t="s">
        <v>239</v>
      </c>
      <c r="J14" s="206" t="s">
        <v>239</v>
      </c>
      <c r="K14" s="206" t="s">
        <v>239</v>
      </c>
      <c r="L14" s="227" t="s">
        <v>446</v>
      </c>
      <c r="M14" s="218">
        <f>15*25*4</f>
        <v>1500</v>
      </c>
      <c r="N14" s="228"/>
      <c r="O14" s="220"/>
      <c r="P14" s="220"/>
      <c r="Q14" s="220">
        <v>375</v>
      </c>
      <c r="R14" s="220"/>
      <c r="S14" s="220"/>
      <c r="T14" s="220">
        <v>375</v>
      </c>
      <c r="U14" s="220"/>
      <c r="V14" s="220">
        <v>375</v>
      </c>
      <c r="W14" s="220"/>
      <c r="X14" s="220">
        <v>375</v>
      </c>
      <c r="Y14" s="210"/>
      <c r="Z14" s="208"/>
      <c r="AA14" s="211" t="s">
        <v>442</v>
      </c>
      <c r="AB14" s="212"/>
    </row>
    <row r="15" spans="1:31" ht="54">
      <c r="A15" s="223"/>
      <c r="B15" s="223"/>
      <c r="C15" s="224"/>
      <c r="D15" s="229"/>
      <c r="E15" s="230" t="s">
        <v>447</v>
      </c>
      <c r="F15" s="229"/>
      <c r="G15" s="230" t="s">
        <v>448</v>
      </c>
      <c r="H15" s="231" t="s">
        <v>239</v>
      </c>
      <c r="I15" s="231" t="s">
        <v>239</v>
      </c>
      <c r="J15" s="231" t="s">
        <v>239</v>
      </c>
      <c r="K15" s="231" t="s">
        <v>239</v>
      </c>
      <c r="L15" s="232" t="s">
        <v>449</v>
      </c>
      <c r="M15" s="233">
        <f>10*120*25</f>
        <v>30000</v>
      </c>
      <c r="N15" s="234"/>
      <c r="O15" s="235"/>
      <c r="P15" s="235"/>
      <c r="Q15" s="235">
        <v>7500</v>
      </c>
      <c r="R15" s="235"/>
      <c r="S15" s="235"/>
      <c r="T15" s="235">
        <v>7500</v>
      </c>
      <c r="U15" s="235"/>
      <c r="V15" s="235">
        <v>7500</v>
      </c>
      <c r="W15" s="235"/>
      <c r="X15" s="235">
        <v>7500</v>
      </c>
      <c r="Y15" s="235"/>
      <c r="Z15" s="236"/>
      <c r="AA15" s="236" t="s">
        <v>442</v>
      </c>
      <c r="AB15" s="237"/>
    </row>
    <row r="16" spans="1:31" ht="81.75" customHeight="1">
      <c r="A16" s="203"/>
      <c r="B16" s="203"/>
      <c r="C16" s="192"/>
      <c r="D16" s="238"/>
      <c r="E16" s="239" t="s">
        <v>450</v>
      </c>
      <c r="F16" s="238"/>
      <c r="G16" s="225" t="s">
        <v>451</v>
      </c>
      <c r="H16" s="238"/>
      <c r="I16" s="206"/>
      <c r="J16" s="188"/>
      <c r="K16" s="204" t="s">
        <v>239</v>
      </c>
      <c r="L16" s="240" t="s">
        <v>452</v>
      </c>
      <c r="M16" s="208">
        <v>700</v>
      </c>
      <c r="N16" s="241"/>
      <c r="O16" s="242"/>
      <c r="P16" s="242"/>
      <c r="Q16" s="242"/>
      <c r="R16" s="242">
        <v>700</v>
      </c>
      <c r="S16" s="242"/>
      <c r="T16" s="242"/>
      <c r="U16" s="242"/>
      <c r="V16" s="242"/>
      <c r="W16" s="243"/>
      <c r="X16" s="242"/>
      <c r="Y16" s="242"/>
      <c r="Z16" s="244"/>
      <c r="AA16" s="3140" t="s">
        <v>442</v>
      </c>
      <c r="AB16" s="212"/>
    </row>
    <row r="17" spans="1:53" ht="35.25" customHeight="1">
      <c r="A17" s="245"/>
      <c r="B17" s="245"/>
      <c r="C17" s="246"/>
      <c r="D17" s="247"/>
      <c r="E17" s="248"/>
      <c r="F17" s="247"/>
      <c r="G17" s="249"/>
      <c r="H17" s="247"/>
      <c r="I17" s="250"/>
      <c r="J17" s="188"/>
      <c r="K17" s="251"/>
      <c r="L17" s="252" t="s">
        <v>453</v>
      </c>
      <c r="M17" s="233">
        <v>500</v>
      </c>
      <c r="N17" s="253"/>
      <c r="O17" s="254"/>
      <c r="P17" s="254"/>
      <c r="Q17" s="254"/>
      <c r="R17" s="254">
        <v>500</v>
      </c>
      <c r="S17" s="254"/>
      <c r="T17" s="254"/>
      <c r="U17" s="254"/>
      <c r="V17" s="254"/>
      <c r="W17" s="243"/>
      <c r="X17" s="254"/>
      <c r="Y17" s="254"/>
      <c r="Z17" s="255"/>
      <c r="AA17" s="3145"/>
      <c r="AB17" s="256"/>
    </row>
    <row r="18" spans="1:53" ht="18">
      <c r="A18" s="213"/>
      <c r="B18" s="213"/>
      <c r="C18" s="195"/>
      <c r="D18" s="257"/>
      <c r="E18" s="258"/>
      <c r="F18" s="257"/>
      <c r="G18" s="259"/>
      <c r="H18" s="257"/>
      <c r="I18" s="216"/>
      <c r="J18" s="260"/>
      <c r="K18" s="214"/>
      <c r="L18" s="227" t="s">
        <v>454</v>
      </c>
      <c r="M18" s="218">
        <v>3600</v>
      </c>
      <c r="N18" s="228"/>
      <c r="O18" s="261"/>
      <c r="P18" s="261"/>
      <c r="Q18" s="261"/>
      <c r="R18" s="261">
        <f>M18</f>
        <v>3600</v>
      </c>
      <c r="S18" s="261"/>
      <c r="T18" s="261"/>
      <c r="U18" s="261"/>
      <c r="V18" s="261"/>
      <c r="W18" s="262"/>
      <c r="X18" s="261"/>
      <c r="Y18" s="261"/>
      <c r="Z18" s="263"/>
      <c r="AA18" s="3141"/>
      <c r="AB18" s="222"/>
    </row>
    <row r="19" spans="1:53" ht="18">
      <c r="A19" s="399">
        <v>4</v>
      </c>
      <c r="B19" s="400">
        <v>11</v>
      </c>
      <c r="C19" s="401">
        <v>32</v>
      </c>
      <c r="D19" s="402">
        <v>2</v>
      </c>
      <c r="E19" s="403" t="s">
        <v>455</v>
      </c>
      <c r="F19" s="412"/>
      <c r="G19" s="413"/>
      <c r="H19" s="414"/>
      <c r="I19" s="415"/>
      <c r="J19" s="415"/>
      <c r="K19" s="415"/>
      <c r="L19" s="416"/>
      <c r="M19" s="417"/>
      <c r="N19" s="418">
        <f>SUM(M20:M55)</f>
        <v>104625</v>
      </c>
      <c r="O19" s="418"/>
      <c r="P19" s="418">
        <f t="shared" ref="P19:Z19" si="2">SUM(P20:P55)</f>
        <v>0</v>
      </c>
      <c r="Q19" s="418">
        <f t="shared" si="2"/>
        <v>6000</v>
      </c>
      <c r="R19" s="418">
        <f t="shared" si="2"/>
        <v>36000</v>
      </c>
      <c r="S19" s="418">
        <f t="shared" si="2"/>
        <v>0</v>
      </c>
      <c r="T19" s="418">
        <f t="shared" si="2"/>
        <v>24000</v>
      </c>
      <c r="U19" s="418">
        <f t="shared" si="2"/>
        <v>0</v>
      </c>
      <c r="V19" s="418">
        <f t="shared" si="2"/>
        <v>0</v>
      </c>
      <c r="W19" s="418">
        <f t="shared" si="2"/>
        <v>23625</v>
      </c>
      <c r="X19" s="418">
        <f t="shared" si="2"/>
        <v>9000</v>
      </c>
      <c r="Y19" s="418">
        <f t="shared" si="2"/>
        <v>3000</v>
      </c>
      <c r="Z19" s="418">
        <f t="shared" si="2"/>
        <v>3000</v>
      </c>
      <c r="AA19" s="2417" t="s">
        <v>1327</v>
      </c>
      <c r="AB19" s="2418" t="s">
        <v>280</v>
      </c>
    </row>
    <row r="20" spans="1:53" ht="45" customHeight="1">
      <c r="A20" s="223"/>
      <c r="B20" s="223"/>
      <c r="C20" s="224"/>
      <c r="D20" s="264"/>
      <c r="E20" s="265" t="s">
        <v>456</v>
      </c>
      <c r="F20" s="266"/>
      <c r="G20" s="265" t="s">
        <v>457</v>
      </c>
      <c r="H20" s="267" t="s">
        <v>239</v>
      </c>
      <c r="I20" s="268"/>
      <c r="J20" s="268"/>
      <c r="K20" s="268"/>
      <c r="L20" s="269" t="s">
        <v>458</v>
      </c>
      <c r="M20" s="270"/>
      <c r="N20" s="271"/>
      <c r="O20" s="271"/>
      <c r="P20" s="271"/>
      <c r="Q20" s="272"/>
      <c r="R20" s="273"/>
      <c r="S20" s="273"/>
      <c r="T20" s="273"/>
      <c r="U20" s="273"/>
      <c r="V20" s="273"/>
      <c r="W20" s="273"/>
      <c r="X20" s="273"/>
      <c r="Y20" s="273"/>
      <c r="Z20" s="274"/>
      <c r="AA20" s="236" t="s">
        <v>459</v>
      </c>
      <c r="AB20" s="237"/>
      <c r="AC20" s="264"/>
      <c r="AD20" s="265"/>
      <c r="AE20" s="266"/>
      <c r="AF20" s="265"/>
      <c r="AG20" s="267"/>
      <c r="AH20" s="268"/>
      <c r="AI20" s="268"/>
      <c r="AJ20" s="268"/>
      <c r="AK20" s="269"/>
      <c r="AL20" s="270"/>
      <c r="AM20" s="271"/>
      <c r="AN20" s="271"/>
      <c r="AO20" s="271"/>
      <c r="AP20" s="272"/>
      <c r="AQ20" s="273"/>
      <c r="AR20" s="273"/>
      <c r="AS20" s="273"/>
      <c r="AT20" s="273"/>
      <c r="AU20" s="273"/>
      <c r="AV20" s="273"/>
      <c r="AW20" s="273"/>
      <c r="AX20" s="273"/>
      <c r="AY20" s="274"/>
      <c r="AZ20" s="236"/>
      <c r="BA20" s="237"/>
    </row>
    <row r="21" spans="1:53" ht="33.450000000000003">
      <c r="A21" s="223"/>
      <c r="B21" s="223"/>
      <c r="C21" s="224"/>
      <c r="D21" s="264"/>
      <c r="E21" s="265"/>
      <c r="F21" s="266"/>
      <c r="G21" s="265"/>
      <c r="H21" s="267"/>
      <c r="I21" s="268"/>
      <c r="J21" s="268"/>
      <c r="K21" s="268"/>
      <c r="L21" s="269" t="s">
        <v>460</v>
      </c>
      <c r="M21" s="270">
        <v>3000</v>
      </c>
      <c r="N21" s="271"/>
      <c r="O21" s="271"/>
      <c r="P21" s="271"/>
      <c r="Q21" s="275">
        <v>3000</v>
      </c>
      <c r="R21" s="273"/>
      <c r="S21" s="273"/>
      <c r="T21" s="273"/>
      <c r="U21" s="273"/>
      <c r="V21" s="273"/>
      <c r="W21" s="273"/>
      <c r="X21" s="273"/>
      <c r="Y21" s="273"/>
      <c r="Z21" s="274"/>
      <c r="AA21" s="236"/>
      <c r="AB21" s="237"/>
      <c r="AC21" s="264"/>
      <c r="AD21" s="265"/>
      <c r="AE21" s="266"/>
      <c r="AF21" s="265"/>
      <c r="AG21" s="267"/>
      <c r="AH21" s="268"/>
      <c r="AI21" s="268"/>
      <c r="AJ21" s="268"/>
      <c r="AK21" s="269"/>
      <c r="AL21" s="275"/>
      <c r="AM21" s="276"/>
      <c r="AN21" s="271"/>
      <c r="AO21" s="271"/>
      <c r="AP21" s="275"/>
      <c r="AQ21" s="273"/>
      <c r="AR21" s="273"/>
      <c r="AS21" s="273"/>
      <c r="AT21" s="273"/>
      <c r="AU21" s="273"/>
      <c r="AV21" s="273"/>
      <c r="AW21" s="273"/>
      <c r="AX21" s="273"/>
      <c r="AY21" s="274"/>
      <c r="AZ21" s="236"/>
      <c r="BA21" s="237"/>
    </row>
    <row r="22" spans="1:53" ht="18">
      <c r="A22" s="223"/>
      <c r="B22" s="223"/>
      <c r="C22" s="224"/>
      <c r="D22" s="277"/>
      <c r="E22" s="278"/>
      <c r="F22" s="215"/>
      <c r="G22" s="278"/>
      <c r="H22" s="279"/>
      <c r="I22" s="280"/>
      <c r="J22" s="280"/>
      <c r="K22" s="280"/>
      <c r="L22" s="281"/>
      <c r="M22" s="218"/>
      <c r="N22" s="282"/>
      <c r="O22" s="282"/>
      <c r="P22" s="282"/>
      <c r="Q22" s="283"/>
      <c r="R22" s="220"/>
      <c r="S22" s="220"/>
      <c r="T22" s="220"/>
      <c r="U22" s="284"/>
      <c r="V22" s="220"/>
      <c r="W22" s="220"/>
      <c r="X22" s="220"/>
      <c r="Y22" s="220"/>
      <c r="Z22" s="218"/>
      <c r="AA22" s="221"/>
      <c r="AB22" s="222"/>
      <c r="AC22" s="264"/>
      <c r="AD22" s="265"/>
      <c r="AE22" s="266"/>
      <c r="AF22" s="265"/>
      <c r="AG22" s="267"/>
      <c r="AH22" s="268"/>
      <c r="AI22" s="268"/>
      <c r="AJ22" s="268"/>
      <c r="AK22" s="269"/>
      <c r="AL22" s="270"/>
      <c r="AM22" s="271"/>
      <c r="AN22" s="271"/>
      <c r="AO22" s="271"/>
      <c r="AP22" s="275"/>
      <c r="AQ22" s="273"/>
      <c r="AR22" s="273"/>
      <c r="AS22" s="273"/>
      <c r="AT22" s="273"/>
      <c r="AU22" s="273"/>
      <c r="AV22" s="273"/>
      <c r="AW22" s="273"/>
      <c r="AX22" s="273"/>
      <c r="AY22" s="274"/>
      <c r="AZ22" s="236"/>
      <c r="BA22" s="237"/>
    </row>
    <row r="23" spans="1:53" ht="36">
      <c r="A23" s="213"/>
      <c r="B23" s="213"/>
      <c r="C23" s="195"/>
      <c r="D23" s="264"/>
      <c r="E23" s="265"/>
      <c r="F23" s="266"/>
      <c r="G23" s="265" t="s">
        <v>461</v>
      </c>
      <c r="H23" s="267"/>
      <c r="I23" s="267" t="s">
        <v>239</v>
      </c>
      <c r="J23" s="268"/>
      <c r="K23" s="268"/>
      <c r="L23" s="269" t="s">
        <v>462</v>
      </c>
      <c r="M23" s="270"/>
      <c r="N23" s="271"/>
      <c r="O23" s="271"/>
      <c r="P23" s="271"/>
      <c r="Q23" s="272"/>
      <c r="R23" s="273"/>
      <c r="S23" s="273"/>
      <c r="T23" s="273"/>
      <c r="U23" s="273"/>
      <c r="V23" s="273"/>
      <c r="W23" s="273"/>
      <c r="X23" s="273"/>
      <c r="Y23" s="273"/>
      <c r="Z23" s="274"/>
      <c r="AA23" s="236" t="s">
        <v>459</v>
      </c>
      <c r="AB23" s="237"/>
      <c r="AC23" s="277"/>
      <c r="AD23" s="278"/>
      <c r="AE23" s="215"/>
      <c r="AF23" s="278"/>
      <c r="AG23" s="279"/>
      <c r="AH23" s="280"/>
      <c r="AI23" s="280"/>
      <c r="AJ23" s="280"/>
      <c r="AK23" s="281"/>
      <c r="AL23" s="218"/>
      <c r="AM23" s="282"/>
      <c r="AN23" s="282"/>
      <c r="AO23" s="282"/>
      <c r="AP23" s="283"/>
      <c r="AQ23" s="220"/>
      <c r="AR23" s="220"/>
      <c r="AS23" s="220"/>
      <c r="AT23" s="284"/>
      <c r="AU23" s="220"/>
      <c r="AV23" s="220"/>
      <c r="AW23" s="220"/>
      <c r="AX23" s="220"/>
      <c r="AY23" s="218"/>
      <c r="AZ23" s="221"/>
      <c r="BA23" s="222"/>
    </row>
    <row r="24" spans="1:53" ht="18">
      <c r="A24" s="223"/>
      <c r="B24" s="223"/>
      <c r="C24" s="224"/>
      <c r="D24" s="285"/>
      <c r="E24" s="286"/>
      <c r="F24" s="205"/>
      <c r="G24" s="286"/>
      <c r="H24" s="287"/>
      <c r="I24" s="288"/>
      <c r="J24" s="288"/>
      <c r="K24" s="288"/>
      <c r="L24" s="289" t="s">
        <v>463</v>
      </c>
      <c r="M24" s="290">
        <v>3000</v>
      </c>
      <c r="N24" s="291"/>
      <c r="O24" s="292"/>
      <c r="P24" s="292"/>
      <c r="Q24" s="293"/>
      <c r="R24" s="210"/>
      <c r="S24" s="210"/>
      <c r="T24" s="293">
        <v>3000</v>
      </c>
      <c r="U24" s="210"/>
      <c r="V24" s="210"/>
      <c r="W24" s="210"/>
      <c r="X24" s="210"/>
      <c r="Y24" s="210"/>
      <c r="Z24" s="208"/>
      <c r="AA24" s="211"/>
      <c r="AB24" s="212"/>
      <c r="AC24" s="264"/>
      <c r="AD24" s="265"/>
      <c r="AE24" s="266"/>
      <c r="AF24" s="265"/>
      <c r="AG24" s="267"/>
      <c r="AH24" s="267"/>
      <c r="AI24" s="268"/>
      <c r="AJ24" s="268"/>
      <c r="AK24" s="269"/>
      <c r="AL24" s="270"/>
      <c r="AM24" s="271"/>
      <c r="AN24" s="271"/>
      <c r="AO24" s="271"/>
      <c r="AP24" s="272"/>
      <c r="AQ24" s="273"/>
      <c r="AR24" s="273"/>
      <c r="AS24" s="273"/>
      <c r="AT24" s="273"/>
      <c r="AU24" s="273"/>
      <c r="AV24" s="273"/>
      <c r="AW24" s="273"/>
      <c r="AX24" s="273"/>
      <c r="AY24" s="274"/>
      <c r="AZ24" s="236"/>
      <c r="BA24" s="237"/>
    </row>
    <row r="25" spans="1:53" ht="18">
      <c r="A25" s="223"/>
      <c r="B25" s="223"/>
      <c r="C25" s="224"/>
      <c r="D25" s="277"/>
      <c r="E25" s="278"/>
      <c r="F25" s="215"/>
      <c r="G25" s="278"/>
      <c r="H25" s="279"/>
      <c r="I25" s="280"/>
      <c r="J25" s="280"/>
      <c r="K25" s="280"/>
      <c r="L25" s="281" t="s">
        <v>464</v>
      </c>
      <c r="M25" s="218"/>
      <c r="N25" s="282"/>
      <c r="O25" s="282"/>
      <c r="P25" s="282"/>
      <c r="Q25" s="283"/>
      <c r="R25" s="220"/>
      <c r="S25" s="220"/>
      <c r="T25" s="220"/>
      <c r="U25" s="284"/>
      <c r="V25" s="220"/>
      <c r="W25" s="220"/>
      <c r="X25" s="220"/>
      <c r="Y25" s="220"/>
      <c r="Z25" s="218"/>
      <c r="AA25" s="221"/>
      <c r="AB25" s="222"/>
      <c r="AC25" s="264"/>
      <c r="AD25" s="265"/>
      <c r="AE25" s="266"/>
      <c r="AF25" s="265"/>
      <c r="AG25" s="267"/>
      <c r="AH25" s="268"/>
      <c r="AI25" s="268"/>
      <c r="AJ25" s="268"/>
      <c r="AK25" s="269"/>
      <c r="AL25" s="294"/>
      <c r="AM25" s="271"/>
      <c r="AN25" s="271"/>
      <c r="AO25" s="271"/>
      <c r="AP25" s="275"/>
      <c r="AQ25" s="273"/>
      <c r="AR25" s="273"/>
      <c r="AS25" s="275"/>
      <c r="AT25" s="273"/>
      <c r="AU25" s="273"/>
      <c r="AV25" s="273"/>
      <c r="AW25" s="273"/>
      <c r="AX25" s="273"/>
      <c r="AY25" s="274"/>
      <c r="AZ25" s="236"/>
      <c r="BA25" s="237"/>
    </row>
    <row r="26" spans="1:53" ht="36">
      <c r="A26" s="223"/>
      <c r="B26" s="223"/>
      <c r="C26" s="224"/>
      <c r="D26" s="264"/>
      <c r="E26" s="265"/>
      <c r="F26" s="266"/>
      <c r="G26" s="295" t="s">
        <v>465</v>
      </c>
      <c r="H26" s="268"/>
      <c r="I26" s="267"/>
      <c r="J26" s="267" t="s">
        <v>239</v>
      </c>
      <c r="K26" s="267" t="s">
        <v>239</v>
      </c>
      <c r="L26" s="269" t="s">
        <v>466</v>
      </c>
      <c r="M26" s="270"/>
      <c r="N26" s="271"/>
      <c r="O26" s="271"/>
      <c r="P26" s="271"/>
      <c r="Q26" s="272"/>
      <c r="R26" s="273"/>
      <c r="S26" s="273"/>
      <c r="T26" s="273"/>
      <c r="U26" s="273"/>
      <c r="V26" s="273"/>
      <c r="W26" s="273"/>
      <c r="X26" s="273"/>
      <c r="Y26" s="273"/>
      <c r="Z26" s="274"/>
      <c r="AA26" s="236" t="s">
        <v>459</v>
      </c>
      <c r="AB26" s="237"/>
      <c r="AC26" s="285"/>
      <c r="AD26" s="286"/>
      <c r="AE26" s="205"/>
      <c r="AF26" s="286"/>
      <c r="AG26" s="287"/>
      <c r="AH26" s="288"/>
      <c r="AI26" s="288"/>
      <c r="AJ26" s="288"/>
      <c r="AK26" s="289"/>
      <c r="AL26" s="290"/>
      <c r="AM26" s="291"/>
      <c r="AN26" s="292"/>
      <c r="AO26" s="292"/>
      <c r="AP26" s="293"/>
      <c r="AQ26" s="210"/>
      <c r="AR26" s="210"/>
      <c r="AS26" s="293"/>
      <c r="AT26" s="210"/>
      <c r="AU26" s="210"/>
      <c r="AV26" s="210"/>
      <c r="AW26" s="210"/>
      <c r="AX26" s="210"/>
      <c r="AY26" s="208"/>
      <c r="AZ26" s="211"/>
      <c r="BA26" s="212"/>
    </row>
    <row r="27" spans="1:53" ht="33.450000000000003">
      <c r="A27" s="223"/>
      <c r="B27" s="223"/>
      <c r="C27" s="224"/>
      <c r="D27" s="264"/>
      <c r="E27" s="265"/>
      <c r="F27" s="266"/>
      <c r="G27" s="295"/>
      <c r="H27" s="268"/>
      <c r="I27" s="267"/>
      <c r="J27" s="267"/>
      <c r="K27" s="268"/>
      <c r="L27" s="269" t="s">
        <v>467</v>
      </c>
      <c r="M27" s="294">
        <v>2625</v>
      </c>
      <c r="N27" s="276"/>
      <c r="O27" s="271"/>
      <c r="P27" s="271"/>
      <c r="Q27" s="275"/>
      <c r="R27" s="273"/>
      <c r="S27" s="273"/>
      <c r="T27" s="275"/>
      <c r="U27" s="273"/>
      <c r="V27" s="273"/>
      <c r="W27" s="275">
        <v>2625</v>
      </c>
      <c r="X27" s="273"/>
      <c r="Y27" s="273"/>
      <c r="Z27" s="294"/>
      <c r="AA27" s="236"/>
      <c r="AB27" s="237"/>
      <c r="AC27" s="277"/>
      <c r="AD27" s="278"/>
      <c r="AE27" s="215"/>
      <c r="AF27" s="278"/>
      <c r="AG27" s="279"/>
      <c r="AH27" s="280"/>
      <c r="AI27" s="280"/>
      <c r="AJ27" s="280"/>
      <c r="AK27" s="281"/>
      <c r="AL27" s="218"/>
      <c r="AM27" s="282"/>
      <c r="AN27" s="282"/>
      <c r="AO27" s="282"/>
      <c r="AP27" s="283"/>
      <c r="AQ27" s="220"/>
      <c r="AR27" s="220"/>
      <c r="AS27" s="220"/>
      <c r="AT27" s="284"/>
      <c r="AU27" s="220"/>
      <c r="AV27" s="220"/>
      <c r="AW27" s="220"/>
      <c r="AX27" s="220"/>
      <c r="AY27" s="218"/>
      <c r="AZ27" s="221"/>
      <c r="BA27" s="222"/>
    </row>
    <row r="28" spans="1:53" ht="18">
      <c r="A28" s="223"/>
      <c r="B28" s="223"/>
      <c r="C28" s="224"/>
      <c r="D28" s="296"/>
      <c r="E28" s="297"/>
      <c r="F28" s="205"/>
      <c r="G28" s="286"/>
      <c r="H28" s="287"/>
      <c r="I28" s="288"/>
      <c r="J28" s="288"/>
      <c r="K28" s="288"/>
      <c r="L28" s="289" t="s">
        <v>463</v>
      </c>
      <c r="M28" s="298">
        <v>3000</v>
      </c>
      <c r="N28" s="291"/>
      <c r="O28" s="292"/>
      <c r="P28" s="292"/>
      <c r="Q28" s="293"/>
      <c r="R28" s="210"/>
      <c r="S28" s="210"/>
      <c r="T28" s="210"/>
      <c r="U28" s="210"/>
      <c r="V28" s="210"/>
      <c r="W28" s="293">
        <v>3000</v>
      </c>
      <c r="X28" s="210"/>
      <c r="Y28" s="210"/>
      <c r="Z28" s="293"/>
      <c r="AA28" s="211"/>
      <c r="AB28" s="212"/>
      <c r="AC28" s="264"/>
      <c r="AD28" s="265"/>
      <c r="AE28" s="266"/>
      <c r="AF28" s="295"/>
      <c r="AG28" s="268"/>
      <c r="AH28" s="267"/>
      <c r="AI28" s="267"/>
      <c r="AJ28" s="267"/>
      <c r="AK28" s="269"/>
      <c r="AL28" s="270"/>
      <c r="AM28" s="271"/>
      <c r="AN28" s="271"/>
      <c r="AO28" s="271"/>
      <c r="AP28" s="272"/>
      <c r="AQ28" s="273"/>
      <c r="AR28" s="273"/>
      <c r="AS28" s="273"/>
      <c r="AT28" s="273"/>
      <c r="AU28" s="273"/>
      <c r="AV28" s="273"/>
      <c r="AW28" s="273"/>
      <c r="AX28" s="273"/>
      <c r="AY28" s="274"/>
      <c r="AZ28" s="236"/>
      <c r="BA28" s="237"/>
    </row>
    <row r="29" spans="1:53" ht="30.75" customHeight="1">
      <c r="A29" s="223"/>
      <c r="B29" s="223"/>
      <c r="C29" s="224"/>
      <c r="D29" s="299"/>
      <c r="E29" s="300"/>
      <c r="F29" s="215"/>
      <c r="G29" s="278"/>
      <c r="H29" s="279"/>
      <c r="I29" s="280"/>
      <c r="J29" s="280"/>
      <c r="K29" s="280"/>
      <c r="L29" s="281" t="s">
        <v>464</v>
      </c>
      <c r="M29" s="218"/>
      <c r="N29" s="282"/>
      <c r="O29" s="282"/>
      <c r="P29" s="282"/>
      <c r="Q29" s="283"/>
      <c r="R29" s="220"/>
      <c r="S29" s="220"/>
      <c r="T29" s="220"/>
      <c r="U29" s="220"/>
      <c r="V29" s="220"/>
      <c r="W29" s="220"/>
      <c r="X29" s="220"/>
      <c r="Y29" s="220"/>
      <c r="Z29" s="218"/>
      <c r="AA29" s="221"/>
      <c r="AB29" s="222"/>
      <c r="AC29" s="264"/>
      <c r="AD29" s="265"/>
      <c r="AE29" s="266"/>
      <c r="AF29" s="295"/>
      <c r="AG29" s="268"/>
      <c r="AH29" s="267"/>
      <c r="AI29" s="267"/>
      <c r="AJ29" s="268"/>
      <c r="AK29" s="269"/>
      <c r="AL29" s="294"/>
      <c r="AM29" s="276"/>
      <c r="AN29" s="271"/>
      <c r="AO29" s="271"/>
      <c r="AP29" s="275"/>
      <c r="AQ29" s="273"/>
      <c r="AR29" s="273"/>
      <c r="AS29" s="275"/>
      <c r="AT29" s="273"/>
      <c r="AU29" s="273"/>
      <c r="AV29" s="275"/>
      <c r="AW29" s="273"/>
      <c r="AX29" s="273"/>
      <c r="AY29" s="294"/>
      <c r="AZ29" s="236"/>
      <c r="BA29" s="237"/>
    </row>
    <row r="30" spans="1:53" ht="54">
      <c r="A30" s="223"/>
      <c r="B30" s="223"/>
      <c r="C30" s="224"/>
      <c r="D30" s="301"/>
      <c r="E30" s="265" t="s">
        <v>468</v>
      </c>
      <c r="F30" s="266"/>
      <c r="G30" s="265" t="s">
        <v>469</v>
      </c>
      <c r="H30" s="267" t="s">
        <v>239</v>
      </c>
      <c r="I30" s="268"/>
      <c r="J30" s="268"/>
      <c r="K30" s="268"/>
      <c r="L30" s="269" t="s">
        <v>458</v>
      </c>
      <c r="M30" s="270"/>
      <c r="N30" s="271"/>
      <c r="O30" s="271"/>
      <c r="P30" s="271"/>
      <c r="Q30" s="272"/>
      <c r="R30" s="273"/>
      <c r="S30" s="273"/>
      <c r="T30" s="273"/>
      <c r="U30" s="273"/>
      <c r="V30" s="273"/>
      <c r="W30" s="273"/>
      <c r="X30" s="273"/>
      <c r="Y30" s="273"/>
      <c r="Z30" s="274"/>
      <c r="AA30" s="236" t="s">
        <v>470</v>
      </c>
      <c r="AB30" s="237"/>
      <c r="AC30" s="296"/>
      <c r="AD30" s="297"/>
      <c r="AE30" s="205"/>
      <c r="AF30" s="286"/>
      <c r="AG30" s="287"/>
      <c r="AH30" s="288"/>
      <c r="AI30" s="288"/>
      <c r="AJ30" s="288"/>
      <c r="AK30" s="289"/>
      <c r="AL30" s="298"/>
      <c r="AM30" s="291"/>
      <c r="AN30" s="292"/>
      <c r="AO30" s="292"/>
      <c r="AP30" s="293"/>
      <c r="AQ30" s="210"/>
      <c r="AR30" s="210"/>
      <c r="AS30" s="210"/>
      <c r="AT30" s="210"/>
      <c r="AU30" s="210"/>
      <c r="AV30" s="293"/>
      <c r="AW30" s="210"/>
      <c r="AX30" s="210"/>
      <c r="AY30" s="293"/>
      <c r="AZ30" s="211"/>
      <c r="BA30" s="212"/>
    </row>
    <row r="31" spans="1:53" ht="18">
      <c r="A31" s="223"/>
      <c r="B31" s="223"/>
      <c r="C31" s="224"/>
      <c r="D31" s="296"/>
      <c r="E31" s="286"/>
      <c r="F31" s="205"/>
      <c r="G31" s="286" t="s">
        <v>471</v>
      </c>
      <c r="H31" s="287"/>
      <c r="I31" s="288"/>
      <c r="J31" s="288"/>
      <c r="K31" s="288"/>
      <c r="L31" s="289" t="s">
        <v>472</v>
      </c>
      <c r="M31" s="290"/>
      <c r="N31" s="292"/>
      <c r="O31" s="292"/>
      <c r="P31" s="292"/>
      <c r="Q31" s="302"/>
      <c r="R31" s="210"/>
      <c r="S31" s="210"/>
      <c r="T31" s="210"/>
      <c r="U31" s="210"/>
      <c r="V31" s="210"/>
      <c r="W31" s="210"/>
      <c r="X31" s="210"/>
      <c r="Y31" s="210"/>
      <c r="Z31" s="208"/>
      <c r="AA31" s="211"/>
      <c r="AB31" s="212"/>
      <c r="AC31" s="299"/>
      <c r="AD31" s="300"/>
      <c r="AE31" s="215"/>
      <c r="AF31" s="278"/>
      <c r="AG31" s="279"/>
      <c r="AH31" s="280"/>
      <c r="AI31" s="280"/>
      <c r="AJ31" s="280"/>
      <c r="AK31" s="281"/>
      <c r="AL31" s="218"/>
      <c r="AM31" s="282"/>
      <c r="AN31" s="282"/>
      <c r="AO31" s="282"/>
      <c r="AP31" s="283"/>
      <c r="AQ31" s="220"/>
      <c r="AR31" s="220"/>
      <c r="AS31" s="220"/>
      <c r="AT31" s="220"/>
      <c r="AU31" s="220"/>
      <c r="AV31" s="220"/>
      <c r="AW31" s="220"/>
      <c r="AX31" s="220"/>
      <c r="AY31" s="218"/>
      <c r="AZ31" s="221"/>
      <c r="BA31" s="222"/>
    </row>
    <row r="32" spans="1:53" ht="37.5" customHeight="1">
      <c r="A32" s="223"/>
      <c r="B32" s="223"/>
      <c r="C32" s="224"/>
      <c r="D32" s="303"/>
      <c r="E32" s="304"/>
      <c r="F32" s="305"/>
      <c r="G32" s="306"/>
      <c r="H32" s="307"/>
      <c r="I32" s="308"/>
      <c r="J32" s="308"/>
      <c r="K32" s="308"/>
      <c r="L32" s="309" t="s">
        <v>463</v>
      </c>
      <c r="M32" s="310">
        <f>Q32</f>
        <v>3000</v>
      </c>
      <c r="N32" s="310"/>
      <c r="O32" s="310"/>
      <c r="P32" s="310"/>
      <c r="Q32" s="311">
        <v>3000</v>
      </c>
      <c r="R32" s="312"/>
      <c r="S32" s="312"/>
      <c r="T32" s="312"/>
      <c r="U32" s="312"/>
      <c r="V32" s="312"/>
      <c r="W32" s="312"/>
      <c r="X32" s="312"/>
      <c r="Y32" s="312"/>
      <c r="Z32" s="233"/>
      <c r="AA32" s="313"/>
      <c r="AB32" s="256"/>
      <c r="AC32" s="301"/>
      <c r="AD32" s="265"/>
      <c r="AE32" s="266"/>
      <c r="AF32" s="265"/>
      <c r="AG32" s="267"/>
      <c r="AH32" s="268"/>
      <c r="AI32" s="268"/>
      <c r="AJ32" s="268"/>
      <c r="AK32" s="269"/>
      <c r="AL32" s="270"/>
      <c r="AM32" s="271"/>
      <c r="AN32" s="271"/>
      <c r="AO32" s="271"/>
      <c r="AP32" s="272"/>
      <c r="AQ32" s="273"/>
      <c r="AR32" s="273"/>
      <c r="AS32" s="273"/>
      <c r="AT32" s="273"/>
      <c r="AU32" s="273"/>
      <c r="AV32" s="273"/>
      <c r="AW32" s="273"/>
      <c r="AX32" s="273"/>
      <c r="AY32" s="274"/>
      <c r="AZ32" s="236"/>
      <c r="BA32" s="237"/>
    </row>
    <row r="33" spans="1:53" ht="16.5" customHeight="1">
      <c r="A33" s="203"/>
      <c r="B33" s="203"/>
      <c r="C33" s="192"/>
      <c r="D33" s="299"/>
      <c r="E33" s="300"/>
      <c r="F33" s="215"/>
      <c r="G33" s="278"/>
      <c r="H33" s="279"/>
      <c r="I33" s="280"/>
      <c r="J33" s="280"/>
      <c r="K33" s="280"/>
      <c r="L33" s="281" t="s">
        <v>464</v>
      </c>
      <c r="M33" s="218"/>
      <c r="N33" s="282"/>
      <c r="O33" s="282"/>
      <c r="P33" s="282"/>
      <c r="Q33" s="283"/>
      <c r="R33" s="220"/>
      <c r="S33" s="220"/>
      <c r="T33" s="220"/>
      <c r="U33" s="220"/>
      <c r="V33" s="220"/>
      <c r="W33" s="220"/>
      <c r="X33" s="220"/>
      <c r="Y33" s="220"/>
      <c r="Z33" s="218"/>
      <c r="AA33" s="221"/>
      <c r="AB33" s="222"/>
      <c r="AC33" s="296"/>
      <c r="AD33" s="286"/>
      <c r="AE33" s="205"/>
      <c r="AF33" s="286"/>
      <c r="AG33" s="287"/>
      <c r="AH33" s="288"/>
      <c r="AI33" s="288"/>
      <c r="AJ33" s="288"/>
      <c r="AK33" s="289"/>
      <c r="AL33" s="290"/>
      <c r="AM33" s="292"/>
      <c r="AN33" s="292"/>
      <c r="AO33" s="292"/>
      <c r="AP33" s="302"/>
      <c r="AQ33" s="210"/>
      <c r="AR33" s="210"/>
      <c r="AS33" s="210"/>
      <c r="AT33" s="210"/>
      <c r="AU33" s="210"/>
      <c r="AV33" s="210"/>
      <c r="AW33" s="210"/>
      <c r="AX33" s="210"/>
      <c r="AY33" s="208"/>
      <c r="AZ33" s="211"/>
      <c r="BA33" s="212"/>
    </row>
    <row r="34" spans="1:53" ht="18">
      <c r="A34" s="203"/>
      <c r="B34" s="203"/>
      <c r="C34" s="203"/>
      <c r="D34" s="296"/>
      <c r="E34" s="297"/>
      <c r="F34" s="205"/>
      <c r="G34" s="286" t="s">
        <v>471</v>
      </c>
      <c r="H34" s="287"/>
      <c r="I34" s="288"/>
      <c r="J34" s="288"/>
      <c r="K34" s="288"/>
      <c r="L34" s="289" t="s">
        <v>473</v>
      </c>
      <c r="M34" s="291">
        <v>18000</v>
      </c>
      <c r="N34" s="291"/>
      <c r="O34" s="291"/>
      <c r="P34" s="291"/>
      <c r="Q34" s="293"/>
      <c r="R34" s="314">
        <v>18000</v>
      </c>
      <c r="S34" s="210"/>
      <c r="T34" s="210"/>
      <c r="U34" s="210"/>
      <c r="V34" s="210"/>
      <c r="W34" s="210"/>
      <c r="X34" s="210"/>
      <c r="Y34" s="210"/>
      <c r="Z34" s="208"/>
      <c r="AA34" s="211"/>
      <c r="AB34" s="212"/>
      <c r="AC34" s="303"/>
      <c r="AD34" s="304"/>
      <c r="AE34" s="305"/>
      <c r="AF34" s="306"/>
      <c r="AG34" s="307"/>
      <c r="AH34" s="308"/>
      <c r="AI34" s="308"/>
      <c r="AJ34" s="308"/>
      <c r="AK34" s="309"/>
      <c r="AL34" s="310"/>
      <c r="AM34" s="310"/>
      <c r="AN34" s="310"/>
      <c r="AO34" s="310"/>
      <c r="AP34" s="311"/>
      <c r="AQ34" s="312"/>
      <c r="AR34" s="312"/>
      <c r="AS34" s="312"/>
      <c r="AT34" s="312"/>
      <c r="AU34" s="312"/>
      <c r="AV34" s="312"/>
      <c r="AW34" s="312"/>
      <c r="AX34" s="312"/>
      <c r="AY34" s="233"/>
      <c r="AZ34" s="313"/>
      <c r="BA34" s="256"/>
    </row>
    <row r="35" spans="1:53" ht="18">
      <c r="A35" s="213"/>
      <c r="B35" s="213"/>
      <c r="C35" s="195"/>
      <c r="D35" s="303"/>
      <c r="E35" s="304"/>
      <c r="F35" s="305"/>
      <c r="G35" s="306"/>
      <c r="H35" s="307"/>
      <c r="I35" s="308"/>
      <c r="J35" s="308"/>
      <c r="K35" s="308"/>
      <c r="L35" s="309" t="s">
        <v>474</v>
      </c>
      <c r="M35" s="310"/>
      <c r="N35" s="310"/>
      <c r="O35" s="310"/>
      <c r="P35" s="310"/>
      <c r="Q35" s="311"/>
      <c r="R35" s="315"/>
      <c r="S35" s="312"/>
      <c r="T35" s="312"/>
      <c r="U35" s="312"/>
      <c r="V35" s="312"/>
      <c r="W35" s="312"/>
      <c r="X35" s="312"/>
      <c r="Y35" s="312"/>
      <c r="Z35" s="233"/>
      <c r="AA35" s="313"/>
      <c r="AB35" s="256"/>
      <c r="AC35" s="299"/>
      <c r="AD35" s="300"/>
      <c r="AE35" s="215"/>
      <c r="AF35" s="278"/>
      <c r="AG35" s="279"/>
      <c r="AH35" s="280"/>
      <c r="AI35" s="280"/>
      <c r="AJ35" s="280"/>
      <c r="AK35" s="281"/>
      <c r="AL35" s="218"/>
      <c r="AM35" s="282"/>
      <c r="AN35" s="282"/>
      <c r="AO35" s="282"/>
      <c r="AP35" s="283"/>
      <c r="AQ35" s="220"/>
      <c r="AR35" s="220"/>
      <c r="AS35" s="220"/>
      <c r="AT35" s="220"/>
      <c r="AU35" s="220"/>
      <c r="AV35" s="220"/>
      <c r="AW35" s="220"/>
      <c r="AX35" s="220"/>
      <c r="AY35" s="218"/>
      <c r="AZ35" s="221"/>
      <c r="BA35" s="222"/>
    </row>
    <row r="36" spans="1:53" ht="18">
      <c r="A36" s="223"/>
      <c r="B36" s="223"/>
      <c r="C36" s="224"/>
      <c r="D36" s="303"/>
      <c r="E36" s="304"/>
      <c r="F36" s="305"/>
      <c r="G36" s="306"/>
      <c r="H36" s="307"/>
      <c r="I36" s="308"/>
      <c r="J36" s="308"/>
      <c r="K36" s="308"/>
      <c r="L36" s="309" t="s">
        <v>475</v>
      </c>
      <c r="M36" s="310"/>
      <c r="N36" s="310"/>
      <c r="O36" s="310"/>
      <c r="P36" s="310"/>
      <c r="Q36" s="311"/>
      <c r="R36" s="315"/>
      <c r="S36" s="312"/>
      <c r="T36" s="312"/>
      <c r="U36" s="312"/>
      <c r="V36" s="312"/>
      <c r="W36" s="312"/>
      <c r="X36" s="312"/>
      <c r="Y36" s="312"/>
      <c r="Z36" s="233"/>
      <c r="AA36" s="313"/>
      <c r="AB36" s="256"/>
      <c r="AC36" s="301"/>
      <c r="AD36" s="316"/>
      <c r="AE36" s="266"/>
      <c r="AF36" s="265"/>
      <c r="AG36" s="267"/>
      <c r="AH36" s="268"/>
      <c r="AI36" s="268"/>
      <c r="AJ36" s="268"/>
      <c r="AK36" s="269"/>
      <c r="AL36" s="275"/>
      <c r="AM36" s="276"/>
      <c r="AN36" s="276"/>
      <c r="AO36" s="276"/>
      <c r="AP36" s="275"/>
      <c r="AQ36" s="272"/>
      <c r="AR36" s="272"/>
      <c r="AS36" s="272"/>
      <c r="AT36" s="273"/>
      <c r="AU36" s="273"/>
      <c r="AV36" s="273"/>
      <c r="AW36" s="273"/>
      <c r="AX36" s="273"/>
      <c r="AY36" s="274"/>
      <c r="AZ36" s="236"/>
      <c r="BA36" s="237"/>
    </row>
    <row r="37" spans="1:53" ht="18">
      <c r="A37" s="203"/>
      <c r="B37" s="203"/>
      <c r="C37" s="203"/>
      <c r="D37" s="299"/>
      <c r="E37" s="300"/>
      <c r="F37" s="215"/>
      <c r="G37" s="278"/>
      <c r="H37" s="279"/>
      <c r="I37" s="280"/>
      <c r="J37" s="280"/>
      <c r="K37" s="280"/>
      <c r="L37" s="281" t="s">
        <v>476</v>
      </c>
      <c r="M37" s="218"/>
      <c r="N37" s="282"/>
      <c r="O37" s="282"/>
      <c r="P37" s="282"/>
      <c r="Q37" s="283"/>
      <c r="R37" s="220"/>
      <c r="S37" s="220"/>
      <c r="T37" s="220"/>
      <c r="U37" s="220"/>
      <c r="V37" s="220"/>
      <c r="W37" s="220"/>
      <c r="X37" s="220"/>
      <c r="Y37" s="220"/>
      <c r="Z37" s="218"/>
      <c r="AA37" s="221"/>
      <c r="AB37" s="222"/>
      <c r="AC37" s="296"/>
      <c r="AD37" s="297"/>
      <c r="AE37" s="205"/>
      <c r="AF37" s="286"/>
      <c r="AG37" s="287"/>
      <c r="AH37" s="288"/>
      <c r="AI37" s="288"/>
      <c r="AJ37" s="288"/>
      <c r="AK37" s="289"/>
      <c r="AL37" s="291"/>
      <c r="AM37" s="291"/>
      <c r="AN37" s="291"/>
      <c r="AO37" s="291"/>
      <c r="AP37" s="293"/>
      <c r="AQ37" s="314"/>
      <c r="AR37" s="210"/>
      <c r="AS37" s="210"/>
      <c r="AT37" s="210"/>
      <c r="AU37" s="210"/>
      <c r="AV37" s="210"/>
      <c r="AW37" s="210"/>
      <c r="AX37" s="210"/>
      <c r="AY37" s="208"/>
      <c r="AZ37" s="211"/>
      <c r="BA37" s="212"/>
    </row>
    <row r="38" spans="1:53" ht="36">
      <c r="A38" s="245"/>
      <c r="B38" s="245"/>
      <c r="C38" s="246"/>
      <c r="D38" s="264"/>
      <c r="E38" s="265"/>
      <c r="F38" s="266"/>
      <c r="G38" s="265" t="s">
        <v>477</v>
      </c>
      <c r="H38" s="267"/>
      <c r="I38" s="267" t="s">
        <v>239</v>
      </c>
      <c r="J38" s="268"/>
      <c r="K38" s="268"/>
      <c r="L38" s="269" t="s">
        <v>478</v>
      </c>
      <c r="M38" s="270"/>
      <c r="N38" s="271"/>
      <c r="O38" s="271"/>
      <c r="P38" s="271"/>
      <c r="Q38" s="272"/>
      <c r="R38" s="273"/>
      <c r="S38" s="273"/>
      <c r="T38" s="273"/>
      <c r="U38" s="273"/>
      <c r="V38" s="273"/>
      <c r="W38" s="273"/>
      <c r="X38" s="273"/>
      <c r="Y38" s="273"/>
      <c r="Z38" s="274"/>
      <c r="AA38" s="236" t="s">
        <v>470</v>
      </c>
      <c r="AB38" s="237"/>
      <c r="AC38" s="303"/>
      <c r="AD38" s="304"/>
      <c r="AE38" s="305"/>
      <c r="AF38" s="306"/>
      <c r="AG38" s="307"/>
      <c r="AH38" s="308"/>
      <c r="AI38" s="308"/>
      <c r="AJ38" s="308"/>
      <c r="AK38" s="309"/>
      <c r="AL38" s="310"/>
      <c r="AM38" s="310"/>
      <c r="AN38" s="310"/>
      <c r="AO38" s="310"/>
      <c r="AP38" s="311"/>
      <c r="AQ38" s="315"/>
      <c r="AR38" s="312"/>
      <c r="AS38" s="312"/>
      <c r="AT38" s="312"/>
      <c r="AU38" s="312"/>
      <c r="AV38" s="312"/>
      <c r="AW38" s="312"/>
      <c r="AX38" s="312"/>
      <c r="AY38" s="233"/>
      <c r="AZ38" s="313"/>
      <c r="BA38" s="256"/>
    </row>
    <row r="39" spans="1:53" ht="18">
      <c r="A39" s="245"/>
      <c r="B39" s="245"/>
      <c r="C39" s="246"/>
      <c r="D39" s="296"/>
      <c r="E39" s="297"/>
      <c r="F39" s="205"/>
      <c r="G39" s="286" t="s">
        <v>471</v>
      </c>
      <c r="H39" s="287"/>
      <c r="I39" s="288"/>
      <c r="J39" s="288"/>
      <c r="K39" s="288"/>
      <c r="L39" s="289" t="s">
        <v>463</v>
      </c>
      <c r="M39" s="290"/>
      <c r="N39" s="292"/>
      <c r="O39" s="292"/>
      <c r="P39" s="292"/>
      <c r="Q39" s="302"/>
      <c r="R39" s="210"/>
      <c r="S39" s="210"/>
      <c r="T39" s="210"/>
      <c r="U39" s="210"/>
      <c r="V39" s="210"/>
      <c r="W39" s="210"/>
      <c r="X39" s="210"/>
      <c r="Y39" s="210"/>
      <c r="Z39" s="208"/>
      <c r="AA39" s="211"/>
      <c r="AB39" s="212"/>
      <c r="AC39" s="303"/>
      <c r="AD39" s="304"/>
      <c r="AE39" s="305"/>
      <c r="AF39" s="306"/>
      <c r="AG39" s="307"/>
      <c r="AH39" s="308"/>
      <c r="AI39" s="308"/>
      <c r="AJ39" s="308"/>
      <c r="AK39" s="309"/>
      <c r="AL39" s="310"/>
      <c r="AM39" s="310"/>
      <c r="AN39" s="310"/>
      <c r="AO39" s="310"/>
      <c r="AP39" s="311"/>
      <c r="AQ39" s="315"/>
      <c r="AR39" s="312"/>
      <c r="AS39" s="312"/>
      <c r="AT39" s="312"/>
      <c r="AU39" s="312"/>
      <c r="AV39" s="312"/>
      <c r="AW39" s="312"/>
      <c r="AX39" s="312"/>
      <c r="AY39" s="233"/>
      <c r="AZ39" s="313"/>
      <c r="BA39" s="256"/>
    </row>
    <row r="40" spans="1:53" ht="18">
      <c r="A40" s="213"/>
      <c r="B40" s="213"/>
      <c r="C40" s="195"/>
      <c r="D40" s="299"/>
      <c r="E40" s="300"/>
      <c r="F40" s="215"/>
      <c r="G40" s="278"/>
      <c r="H40" s="279"/>
      <c r="I40" s="280"/>
      <c r="J40" s="280"/>
      <c r="K40" s="280"/>
      <c r="L40" s="281" t="s">
        <v>464</v>
      </c>
      <c r="M40" s="283">
        <v>3000</v>
      </c>
      <c r="N40" s="317"/>
      <c r="O40" s="282"/>
      <c r="P40" s="282"/>
      <c r="Q40" s="318"/>
      <c r="R40" s="284"/>
      <c r="S40" s="220"/>
      <c r="T40" s="319">
        <v>3000</v>
      </c>
      <c r="U40" s="220"/>
      <c r="V40" s="220"/>
      <c r="W40" s="220"/>
      <c r="X40" s="220"/>
      <c r="Y40" s="220"/>
      <c r="Z40" s="218"/>
      <c r="AA40" s="221"/>
      <c r="AB40" s="222"/>
      <c r="AC40" s="299"/>
      <c r="AD40" s="300"/>
      <c r="AE40" s="215"/>
      <c r="AF40" s="278"/>
      <c r="AG40" s="279"/>
      <c r="AH40" s="280"/>
      <c r="AI40" s="280"/>
      <c r="AJ40" s="280"/>
      <c r="AK40" s="281"/>
      <c r="AL40" s="218"/>
      <c r="AM40" s="282"/>
      <c r="AN40" s="282"/>
      <c r="AO40" s="282"/>
      <c r="AP40" s="283"/>
      <c r="AQ40" s="220"/>
      <c r="AR40" s="220"/>
      <c r="AS40" s="220"/>
      <c r="AT40" s="220"/>
      <c r="AU40" s="220"/>
      <c r="AV40" s="220"/>
      <c r="AW40" s="220"/>
      <c r="AX40" s="220"/>
      <c r="AY40" s="218"/>
      <c r="AZ40" s="221"/>
      <c r="BA40" s="222"/>
    </row>
    <row r="41" spans="1:53" ht="18">
      <c r="A41" s="223"/>
      <c r="B41" s="223"/>
      <c r="C41" s="224"/>
      <c r="D41" s="296"/>
      <c r="E41" s="297"/>
      <c r="F41" s="205"/>
      <c r="G41" s="286" t="s">
        <v>471</v>
      </c>
      <c r="H41" s="287"/>
      <c r="I41" s="288"/>
      <c r="J41" s="288"/>
      <c r="K41" s="288"/>
      <c r="L41" s="289" t="s">
        <v>479</v>
      </c>
      <c r="M41" s="291"/>
      <c r="N41" s="291"/>
      <c r="O41" s="292"/>
      <c r="P41" s="292"/>
      <c r="Q41" s="302"/>
      <c r="R41" s="210"/>
      <c r="S41" s="210"/>
      <c r="T41" s="210"/>
      <c r="U41" s="210"/>
      <c r="V41" s="210"/>
      <c r="W41" s="210"/>
      <c r="X41" s="210"/>
      <c r="Y41" s="210"/>
      <c r="Z41" s="208"/>
      <c r="AA41" s="211"/>
      <c r="AB41" s="212"/>
      <c r="AC41" s="301"/>
      <c r="AD41" s="316"/>
      <c r="AE41" s="266"/>
      <c r="AF41" s="265"/>
      <c r="AG41" s="267"/>
      <c r="AH41" s="268"/>
      <c r="AI41" s="268"/>
      <c r="AJ41" s="268"/>
      <c r="AK41" s="269"/>
      <c r="AL41" s="291"/>
      <c r="AM41" s="291"/>
      <c r="AN41" s="276"/>
      <c r="AO41" s="276"/>
      <c r="AP41" s="275"/>
      <c r="AQ41" s="275"/>
      <c r="AR41" s="272"/>
      <c r="AS41" s="272"/>
      <c r="AT41" s="273"/>
      <c r="AU41" s="273"/>
      <c r="AV41" s="273"/>
      <c r="AW41" s="273"/>
      <c r="AX41" s="273"/>
      <c r="AY41" s="274"/>
      <c r="AZ41" s="236"/>
      <c r="BA41" s="237"/>
    </row>
    <row r="42" spans="1:53" ht="18">
      <c r="A42" s="223"/>
      <c r="B42" s="223"/>
      <c r="C42" s="224"/>
      <c r="D42" s="299"/>
      <c r="E42" s="300"/>
      <c r="F42" s="215"/>
      <c r="G42" s="278"/>
      <c r="H42" s="279"/>
      <c r="I42" s="280"/>
      <c r="J42" s="280"/>
      <c r="K42" s="280"/>
      <c r="L42" s="281" t="s">
        <v>476</v>
      </c>
      <c r="M42" s="283">
        <v>18000</v>
      </c>
      <c r="N42" s="317"/>
      <c r="O42" s="282"/>
      <c r="P42" s="282"/>
      <c r="Q42" s="318"/>
      <c r="R42" s="284"/>
      <c r="S42" s="220"/>
      <c r="T42" s="319">
        <v>18000</v>
      </c>
      <c r="U42" s="220"/>
      <c r="V42" s="220"/>
      <c r="W42" s="220"/>
      <c r="X42" s="220"/>
      <c r="Y42" s="220"/>
      <c r="Z42" s="218"/>
      <c r="AA42" s="221"/>
      <c r="AB42" s="222"/>
      <c r="AC42" s="264"/>
      <c r="AD42" s="265"/>
      <c r="AE42" s="266"/>
      <c r="AF42" s="265"/>
      <c r="AG42" s="267"/>
      <c r="AH42" s="267"/>
      <c r="AI42" s="268"/>
      <c r="AJ42" s="268"/>
      <c r="AK42" s="269"/>
      <c r="AL42" s="270"/>
      <c r="AM42" s="271"/>
      <c r="AN42" s="271"/>
      <c r="AO42" s="271"/>
      <c r="AP42" s="272"/>
      <c r="AQ42" s="273"/>
      <c r="AR42" s="273"/>
      <c r="AS42" s="273"/>
      <c r="AT42" s="273"/>
      <c r="AU42" s="273"/>
      <c r="AV42" s="273"/>
      <c r="AW42" s="273"/>
      <c r="AX42" s="273"/>
      <c r="AY42" s="274"/>
      <c r="AZ42" s="236"/>
      <c r="BA42" s="237"/>
    </row>
    <row r="43" spans="1:53" ht="36">
      <c r="A43" s="203"/>
      <c r="B43" s="203"/>
      <c r="C43" s="192"/>
      <c r="D43" s="266"/>
      <c r="E43" s="265" t="s">
        <v>480</v>
      </c>
      <c r="F43" s="266"/>
      <c r="G43" s="265" t="s">
        <v>481</v>
      </c>
      <c r="H43" s="267"/>
      <c r="I43" s="267"/>
      <c r="J43" s="267" t="s">
        <v>239</v>
      </c>
      <c r="K43" s="267" t="s">
        <v>239</v>
      </c>
      <c r="L43" s="265" t="s">
        <v>482</v>
      </c>
      <c r="M43" s="270"/>
      <c r="N43" s="276"/>
      <c r="O43" s="320"/>
      <c r="P43" s="320"/>
      <c r="Q43" s="273"/>
      <c r="R43" s="273"/>
      <c r="S43" s="273"/>
      <c r="T43" s="275"/>
      <c r="U43" s="273"/>
      <c r="V43" s="272"/>
      <c r="W43" s="272"/>
      <c r="X43" s="272"/>
      <c r="Y43" s="272"/>
      <c r="Z43" s="274"/>
      <c r="AA43" s="236" t="s">
        <v>470</v>
      </c>
      <c r="AB43" s="237"/>
      <c r="AC43" s="296"/>
      <c r="AD43" s="297"/>
      <c r="AE43" s="205"/>
      <c r="AF43" s="286"/>
      <c r="AG43" s="287"/>
      <c r="AH43" s="288"/>
      <c r="AI43" s="288"/>
      <c r="AJ43" s="288"/>
      <c r="AK43" s="289"/>
      <c r="AL43" s="290"/>
      <c r="AM43" s="292"/>
      <c r="AN43" s="292"/>
      <c r="AO43" s="292"/>
      <c r="AP43" s="302"/>
      <c r="AQ43" s="210"/>
      <c r="AR43" s="210"/>
      <c r="AS43" s="210"/>
      <c r="AT43" s="210"/>
      <c r="AU43" s="210"/>
      <c r="AV43" s="210"/>
      <c r="AW43" s="210"/>
      <c r="AX43" s="210"/>
      <c r="AY43" s="208"/>
      <c r="AZ43" s="211"/>
      <c r="BA43" s="212"/>
    </row>
    <row r="44" spans="1:53" ht="33.450000000000003">
      <c r="A44" s="213"/>
      <c r="B44" s="213"/>
      <c r="C44" s="213"/>
      <c r="D44" s="266"/>
      <c r="E44" s="265"/>
      <c r="F44" s="266"/>
      <c r="G44" s="265"/>
      <c r="H44" s="267"/>
      <c r="I44" s="267"/>
      <c r="J44" s="267"/>
      <c r="K44" s="267"/>
      <c r="L44" s="321" t="s">
        <v>483</v>
      </c>
      <c r="M44" s="270">
        <f t="shared" ref="M44:M46" si="3">O44+P44+Q44+R44+S44+T44+U44+V44+W44+X44+Y44+Z44</f>
        <v>18000</v>
      </c>
      <c r="N44" s="276"/>
      <c r="O44" s="320"/>
      <c r="P44" s="320"/>
      <c r="Q44" s="273"/>
      <c r="R44" s="273"/>
      <c r="S44" s="273"/>
      <c r="T44" s="275"/>
      <c r="U44" s="273"/>
      <c r="V44" s="272"/>
      <c r="W44" s="275">
        <v>12000</v>
      </c>
      <c r="X44" s="275">
        <v>6000</v>
      </c>
      <c r="Y44" s="272"/>
      <c r="Z44" s="274"/>
      <c r="AA44" s="236"/>
      <c r="AB44" s="237"/>
      <c r="AC44" s="299"/>
      <c r="AD44" s="300"/>
      <c r="AE44" s="215"/>
      <c r="AF44" s="278"/>
      <c r="AG44" s="279"/>
      <c r="AH44" s="280"/>
      <c r="AI44" s="280"/>
      <c r="AJ44" s="280"/>
      <c r="AK44" s="281"/>
      <c r="AL44" s="283"/>
      <c r="AM44" s="317"/>
      <c r="AN44" s="282"/>
      <c r="AO44" s="282"/>
      <c r="AP44" s="318"/>
      <c r="AQ44" s="284"/>
      <c r="AR44" s="220"/>
      <c r="AS44" s="319"/>
      <c r="AT44" s="220"/>
      <c r="AU44" s="220"/>
      <c r="AV44" s="220"/>
      <c r="AW44" s="220"/>
      <c r="AX44" s="220"/>
      <c r="AY44" s="218"/>
      <c r="AZ44" s="221"/>
      <c r="BA44" s="222"/>
    </row>
    <row r="45" spans="1:53" ht="33.450000000000003">
      <c r="A45" s="203"/>
      <c r="B45" s="203"/>
      <c r="C45" s="192"/>
      <c r="D45" s="266"/>
      <c r="E45" s="265"/>
      <c r="F45" s="266"/>
      <c r="G45" s="265"/>
      <c r="H45" s="267"/>
      <c r="I45" s="267"/>
      <c r="J45" s="267"/>
      <c r="K45" s="267"/>
      <c r="L45" s="321" t="s">
        <v>484</v>
      </c>
      <c r="M45" s="276">
        <f t="shared" si="3"/>
        <v>15000</v>
      </c>
      <c r="N45" s="276"/>
      <c r="O45" s="320"/>
      <c r="P45" s="320"/>
      <c r="Q45" s="273"/>
      <c r="R45" s="273"/>
      <c r="S45" s="273"/>
      <c r="T45" s="275"/>
      <c r="U45" s="273"/>
      <c r="V45" s="272"/>
      <c r="W45" s="275">
        <v>6000</v>
      </c>
      <c r="X45" s="275">
        <v>3000</v>
      </c>
      <c r="Y45" s="275">
        <v>3000</v>
      </c>
      <c r="Z45" s="294">
        <v>3000</v>
      </c>
      <c r="AA45" s="236"/>
      <c r="AB45" s="237"/>
      <c r="AC45" s="264"/>
      <c r="AD45" s="265"/>
      <c r="AE45" s="266"/>
      <c r="AF45" s="265"/>
      <c r="AG45" s="267"/>
      <c r="AH45" s="268"/>
      <c r="AI45" s="268"/>
      <c r="AJ45" s="268"/>
      <c r="AK45" s="269"/>
      <c r="AL45" s="275"/>
      <c r="AM45" s="276"/>
      <c r="AN45" s="271"/>
      <c r="AO45" s="271"/>
      <c r="AP45" s="272"/>
      <c r="AQ45" s="272"/>
      <c r="AR45" s="272"/>
      <c r="AS45" s="275"/>
      <c r="AT45" s="273"/>
      <c r="AU45" s="273"/>
      <c r="AV45" s="273"/>
      <c r="AW45" s="273"/>
      <c r="AX45" s="273"/>
      <c r="AY45" s="274"/>
      <c r="AZ45" s="236"/>
      <c r="BA45" s="237"/>
    </row>
    <row r="46" spans="1:53" ht="33.450000000000003">
      <c r="A46" s="192"/>
      <c r="B46" s="203"/>
      <c r="C46" s="322"/>
      <c r="D46" s="323"/>
      <c r="E46" s="286" t="s">
        <v>485</v>
      </c>
      <c r="F46" s="205"/>
      <c r="G46" s="286"/>
      <c r="H46" s="287"/>
      <c r="I46" s="287"/>
      <c r="J46" s="287"/>
      <c r="K46" s="287"/>
      <c r="L46" s="324" t="s">
        <v>486</v>
      </c>
      <c r="M46" s="291">
        <f t="shared" si="3"/>
        <v>0</v>
      </c>
      <c r="N46" s="291"/>
      <c r="O46" s="325"/>
      <c r="P46" s="325"/>
      <c r="Q46" s="210"/>
      <c r="R46" s="210"/>
      <c r="S46" s="210"/>
      <c r="T46" s="293"/>
      <c r="U46" s="210"/>
      <c r="V46" s="302"/>
      <c r="W46" s="293"/>
      <c r="X46" s="293"/>
      <c r="Y46" s="302"/>
      <c r="Z46" s="208"/>
      <c r="AA46" s="211" t="s">
        <v>487</v>
      </c>
      <c r="AB46" s="212"/>
      <c r="AC46" s="296"/>
      <c r="AD46" s="297"/>
      <c r="AE46" s="205"/>
      <c r="AF46" s="286"/>
      <c r="AG46" s="287"/>
      <c r="AH46" s="288"/>
      <c r="AI46" s="288"/>
      <c r="AJ46" s="288"/>
      <c r="AK46" s="289"/>
      <c r="AL46" s="291"/>
      <c r="AM46" s="291"/>
      <c r="AN46" s="292"/>
      <c r="AO46" s="292"/>
      <c r="AP46" s="302"/>
      <c r="AQ46" s="210"/>
      <c r="AR46" s="210"/>
      <c r="AS46" s="210"/>
      <c r="AT46" s="210"/>
      <c r="AU46" s="210"/>
      <c r="AV46" s="210"/>
      <c r="AW46" s="210"/>
      <c r="AX46" s="210"/>
      <c r="AY46" s="208"/>
      <c r="AZ46" s="211"/>
      <c r="BA46" s="212"/>
    </row>
    <row r="47" spans="1:53" ht="18">
      <c r="A47" s="246"/>
      <c r="B47" s="245"/>
      <c r="C47" s="326"/>
      <c r="D47" s="327"/>
      <c r="E47" s="306" t="s">
        <v>488</v>
      </c>
      <c r="F47" s="305"/>
      <c r="G47" s="306"/>
      <c r="H47" s="307"/>
      <c r="I47" s="307"/>
      <c r="J47" s="307"/>
      <c r="K47" s="307"/>
      <c r="L47" s="328" t="s">
        <v>489</v>
      </c>
      <c r="M47" s="310"/>
      <c r="N47" s="310"/>
      <c r="O47" s="329"/>
      <c r="P47" s="329"/>
      <c r="Q47" s="312"/>
      <c r="R47" s="312"/>
      <c r="S47" s="312"/>
      <c r="T47" s="311"/>
      <c r="U47" s="312"/>
      <c r="V47" s="330"/>
      <c r="W47" s="311"/>
      <c r="X47" s="311"/>
      <c r="Y47" s="330"/>
      <c r="Z47" s="233"/>
      <c r="AA47" s="313"/>
      <c r="AB47" s="256"/>
      <c r="AC47" s="299"/>
      <c r="AD47" s="300"/>
      <c r="AE47" s="215"/>
      <c r="AF47" s="278"/>
      <c r="AG47" s="279"/>
      <c r="AH47" s="280"/>
      <c r="AI47" s="280"/>
      <c r="AJ47" s="280"/>
      <c r="AK47" s="281"/>
      <c r="AL47" s="283"/>
      <c r="AM47" s="317"/>
      <c r="AN47" s="282"/>
      <c r="AO47" s="282"/>
      <c r="AP47" s="318"/>
      <c r="AQ47" s="284"/>
      <c r="AR47" s="220"/>
      <c r="AS47" s="319"/>
      <c r="AT47" s="220"/>
      <c r="AU47" s="220"/>
      <c r="AV47" s="220"/>
      <c r="AW47" s="220"/>
      <c r="AX47" s="220"/>
      <c r="AY47" s="218"/>
      <c r="AZ47" s="221"/>
      <c r="BA47" s="222"/>
    </row>
    <row r="48" spans="1:53" ht="18">
      <c r="A48" s="246"/>
      <c r="B48" s="245"/>
      <c r="C48" s="326"/>
      <c r="D48" s="327"/>
      <c r="E48" s="306"/>
      <c r="F48" s="305"/>
      <c r="G48" s="306"/>
      <c r="H48" s="307"/>
      <c r="I48" s="307"/>
      <c r="J48" s="307"/>
      <c r="K48" s="307"/>
      <c r="L48" s="328" t="s">
        <v>490</v>
      </c>
      <c r="M48" s="310">
        <v>8400</v>
      </c>
      <c r="N48" s="310"/>
      <c r="O48" s="329"/>
      <c r="P48" s="329"/>
      <c r="Q48" s="311"/>
      <c r="R48" s="310">
        <v>8400</v>
      </c>
      <c r="S48" s="312"/>
      <c r="T48" s="311"/>
      <c r="U48" s="312"/>
      <c r="V48" s="312"/>
      <c r="W48" s="312"/>
      <c r="X48" s="312"/>
      <c r="Y48" s="312"/>
      <c r="Z48" s="233"/>
      <c r="AA48" s="313"/>
      <c r="AB48" s="256"/>
      <c r="AC48" s="264"/>
      <c r="AD48" s="265"/>
      <c r="AE48" s="266"/>
      <c r="AF48" s="265"/>
      <c r="AG48" s="267"/>
      <c r="AH48" s="268"/>
      <c r="AI48" s="268"/>
      <c r="AJ48" s="268"/>
      <c r="AK48" s="269"/>
      <c r="AL48" s="275"/>
      <c r="AM48" s="276"/>
      <c r="AN48" s="271"/>
      <c r="AO48" s="271"/>
      <c r="AP48" s="272"/>
      <c r="AQ48" s="272"/>
      <c r="AR48" s="272"/>
      <c r="AS48" s="275"/>
      <c r="AT48" s="273"/>
      <c r="AU48" s="273"/>
      <c r="AV48" s="273"/>
      <c r="AW48" s="273"/>
      <c r="AX48" s="273"/>
      <c r="AY48" s="274"/>
      <c r="AZ48" s="236"/>
      <c r="BA48" s="237"/>
    </row>
    <row r="49" spans="1:53" ht="36" customHeight="1">
      <c r="A49" s="246"/>
      <c r="B49" s="245"/>
      <c r="C49" s="326"/>
      <c r="D49" s="327"/>
      <c r="E49" s="306"/>
      <c r="F49" s="305"/>
      <c r="G49" s="306"/>
      <c r="H49" s="307"/>
      <c r="I49" s="307"/>
      <c r="J49" s="307"/>
      <c r="K49" s="307"/>
      <c r="L49" s="331" t="s">
        <v>491</v>
      </c>
      <c r="M49" s="317"/>
      <c r="N49" s="317"/>
      <c r="O49" s="332"/>
      <c r="P49" s="332"/>
      <c r="Q49" s="311"/>
      <c r="R49" s="317"/>
      <c r="S49" s="315"/>
      <c r="T49" s="311"/>
      <c r="U49" s="312"/>
      <c r="V49" s="312"/>
      <c r="W49" s="311"/>
      <c r="X49" s="312"/>
      <c r="Y49" s="312"/>
      <c r="Z49" s="311"/>
      <c r="AA49" s="313"/>
      <c r="AB49" s="256"/>
      <c r="AC49" s="264"/>
      <c r="AD49" s="265"/>
      <c r="AE49" s="266"/>
      <c r="AF49" s="265"/>
      <c r="AG49" s="267"/>
      <c r="AH49" s="267"/>
      <c r="AI49" s="267"/>
      <c r="AJ49" s="267"/>
      <c r="AK49" s="321"/>
      <c r="AL49" s="274"/>
      <c r="AM49" s="271"/>
      <c r="AN49" s="320"/>
      <c r="AO49" s="320"/>
      <c r="AP49" s="273"/>
      <c r="AQ49" s="273"/>
      <c r="AR49" s="273"/>
      <c r="AS49" s="273"/>
      <c r="AT49" s="273"/>
      <c r="AU49" s="273"/>
      <c r="AV49" s="273"/>
      <c r="AW49" s="273"/>
      <c r="AX49" s="273"/>
      <c r="AY49" s="274"/>
      <c r="AZ49" s="236"/>
      <c r="BA49" s="237"/>
    </row>
    <row r="50" spans="1:53" ht="18">
      <c r="A50" s="246"/>
      <c r="B50" s="245"/>
      <c r="C50" s="326"/>
      <c r="D50" s="327"/>
      <c r="E50" s="306"/>
      <c r="F50" s="305"/>
      <c r="G50" s="306"/>
      <c r="H50" s="307"/>
      <c r="I50" s="307"/>
      <c r="J50" s="307"/>
      <c r="K50" s="307"/>
      <c r="L50" s="328" t="s">
        <v>492</v>
      </c>
      <c r="M50" s="310">
        <v>6000</v>
      </c>
      <c r="N50" s="310"/>
      <c r="O50" s="332"/>
      <c r="P50" s="332"/>
      <c r="Q50" s="311"/>
      <c r="R50" s="310">
        <v>6000</v>
      </c>
      <c r="S50" s="315"/>
      <c r="T50" s="311"/>
      <c r="U50" s="312"/>
      <c r="V50" s="312"/>
      <c r="W50" s="311"/>
      <c r="X50" s="312"/>
      <c r="Y50" s="312"/>
      <c r="Z50" s="311"/>
      <c r="AA50" s="313"/>
      <c r="AB50" s="256"/>
      <c r="AC50" s="266"/>
      <c r="AD50" s="265"/>
      <c r="AE50" s="266"/>
      <c r="AF50" s="265"/>
      <c r="AG50" s="267"/>
      <c r="AH50" s="267"/>
      <c r="AI50" s="267"/>
      <c r="AJ50" s="267"/>
      <c r="AK50" s="321"/>
      <c r="AL50" s="276"/>
      <c r="AM50" s="276"/>
      <c r="AN50" s="320"/>
      <c r="AO50" s="320"/>
      <c r="AP50" s="275"/>
      <c r="AQ50" s="275"/>
      <c r="AR50" s="275"/>
      <c r="AS50" s="275"/>
      <c r="AT50" s="275"/>
      <c r="AU50" s="275"/>
      <c r="AV50" s="275"/>
      <c r="AW50" s="275"/>
      <c r="AX50" s="273"/>
      <c r="AY50" s="294"/>
      <c r="AZ50" s="236"/>
      <c r="BA50" s="237"/>
    </row>
    <row r="51" spans="1:53" ht="36" customHeight="1">
      <c r="A51" s="195"/>
      <c r="B51" s="213"/>
      <c r="C51" s="333"/>
      <c r="D51" s="334"/>
      <c r="E51" s="278"/>
      <c r="F51" s="215"/>
      <c r="G51" s="278"/>
      <c r="H51" s="279"/>
      <c r="I51" s="279"/>
      <c r="J51" s="279"/>
      <c r="K51" s="279"/>
      <c r="L51" s="331" t="s">
        <v>493</v>
      </c>
      <c r="M51" s="317"/>
      <c r="N51" s="317"/>
      <c r="O51" s="335"/>
      <c r="P51" s="335"/>
      <c r="Q51" s="283"/>
      <c r="R51" s="317"/>
      <c r="S51" s="283"/>
      <c r="T51" s="283"/>
      <c r="U51" s="283"/>
      <c r="V51" s="283"/>
      <c r="W51" s="283"/>
      <c r="X51" s="283"/>
      <c r="Y51" s="220"/>
      <c r="Z51" s="336"/>
      <c r="AA51" s="221"/>
      <c r="AB51" s="222"/>
      <c r="AC51" s="266"/>
      <c r="AD51" s="265"/>
      <c r="AE51" s="266"/>
      <c r="AF51" s="265"/>
      <c r="AG51" s="267"/>
      <c r="AH51" s="267"/>
      <c r="AI51" s="267"/>
      <c r="AJ51" s="267"/>
      <c r="AK51" s="265"/>
      <c r="AL51" s="270"/>
      <c r="AM51" s="276"/>
      <c r="AN51" s="320"/>
      <c r="AO51" s="320"/>
      <c r="AP51" s="273"/>
      <c r="AQ51" s="273"/>
      <c r="AR51" s="273"/>
      <c r="AS51" s="275"/>
      <c r="AT51" s="273"/>
      <c r="AU51" s="272"/>
      <c r="AV51" s="272"/>
      <c r="AW51" s="272"/>
      <c r="AX51" s="272"/>
      <c r="AY51" s="274"/>
      <c r="AZ51" s="236"/>
      <c r="BA51" s="237"/>
    </row>
    <row r="52" spans="1:53" ht="18">
      <c r="A52" s="245"/>
      <c r="B52" s="245"/>
      <c r="C52" s="246"/>
      <c r="D52" s="305"/>
      <c r="E52" s="306"/>
      <c r="F52" s="305"/>
      <c r="G52" s="306"/>
      <c r="H52" s="307"/>
      <c r="I52" s="307"/>
      <c r="J52" s="307"/>
      <c r="K52" s="307"/>
      <c r="L52" s="194" t="s">
        <v>494</v>
      </c>
      <c r="M52" s="310">
        <v>1200</v>
      </c>
      <c r="N52" s="310"/>
      <c r="O52" s="329"/>
      <c r="P52" s="329"/>
      <c r="Q52" s="311"/>
      <c r="R52" s="310">
        <v>1200</v>
      </c>
      <c r="S52" s="311"/>
      <c r="T52" s="311"/>
      <c r="U52" s="311"/>
      <c r="V52" s="311"/>
      <c r="W52" s="311"/>
      <c r="X52" s="311"/>
      <c r="Y52" s="312"/>
      <c r="Z52" s="337"/>
      <c r="AA52" s="313"/>
      <c r="AB52" s="256"/>
      <c r="AC52" s="266"/>
      <c r="AD52" s="265"/>
      <c r="AE52" s="266"/>
      <c r="AF52" s="265"/>
      <c r="AG52" s="267"/>
      <c r="AH52" s="267"/>
      <c r="AI52" s="267"/>
      <c r="AJ52" s="267"/>
      <c r="AK52" s="321"/>
      <c r="AL52" s="270"/>
      <c r="AM52" s="276"/>
      <c r="AN52" s="320"/>
      <c r="AO52" s="320"/>
      <c r="AP52" s="273"/>
      <c r="AQ52" s="273"/>
      <c r="AR52" s="273"/>
      <c r="AS52" s="275"/>
      <c r="AT52" s="273"/>
      <c r="AU52" s="272"/>
      <c r="AV52" s="275"/>
      <c r="AW52" s="275"/>
      <c r="AX52" s="272"/>
      <c r="AY52" s="274"/>
      <c r="AZ52" s="236"/>
      <c r="BA52" s="237"/>
    </row>
    <row r="53" spans="1:53" ht="18">
      <c r="A53" s="245"/>
      <c r="B53" s="245"/>
      <c r="C53" s="245"/>
      <c r="D53" s="305"/>
      <c r="E53" s="306"/>
      <c r="F53" s="305"/>
      <c r="G53" s="306"/>
      <c r="H53" s="307"/>
      <c r="I53" s="307"/>
      <c r="J53" s="307"/>
      <c r="K53" s="307"/>
      <c r="L53" s="213" t="s">
        <v>495</v>
      </c>
      <c r="M53" s="317"/>
      <c r="N53" s="317"/>
      <c r="O53" s="329"/>
      <c r="P53" s="329"/>
      <c r="Q53" s="311"/>
      <c r="R53" s="317"/>
      <c r="S53" s="311"/>
      <c r="T53" s="311"/>
      <c r="U53" s="311"/>
      <c r="V53" s="311"/>
      <c r="W53" s="311"/>
      <c r="X53" s="311"/>
      <c r="Y53" s="312"/>
      <c r="Z53" s="337"/>
      <c r="AA53" s="313"/>
      <c r="AB53" s="256"/>
      <c r="AC53" s="266"/>
      <c r="AD53" s="265"/>
      <c r="AE53" s="266"/>
      <c r="AF53" s="265"/>
      <c r="AG53" s="267"/>
      <c r="AH53" s="267"/>
      <c r="AI53" s="267"/>
      <c r="AJ53" s="267"/>
      <c r="AK53" s="321"/>
      <c r="AL53" s="276"/>
      <c r="AM53" s="276"/>
      <c r="AN53" s="320"/>
      <c r="AO53" s="320"/>
      <c r="AP53" s="273"/>
      <c r="AQ53" s="273"/>
      <c r="AR53" s="273"/>
      <c r="AS53" s="275"/>
      <c r="AT53" s="273"/>
      <c r="AU53" s="272"/>
      <c r="AV53" s="275"/>
      <c r="AW53" s="275"/>
      <c r="AX53" s="275"/>
      <c r="AY53" s="294"/>
      <c r="AZ53" s="236"/>
      <c r="BA53" s="237"/>
    </row>
    <row r="54" spans="1:53" ht="18">
      <c r="A54" s="245"/>
      <c r="B54" s="245"/>
      <c r="C54" s="246"/>
      <c r="D54" s="305"/>
      <c r="E54" s="306"/>
      <c r="F54" s="305"/>
      <c r="G54" s="306"/>
      <c r="H54" s="307"/>
      <c r="I54" s="307"/>
      <c r="J54" s="307"/>
      <c r="K54" s="307"/>
      <c r="L54" s="328" t="s">
        <v>496</v>
      </c>
      <c r="M54" s="310">
        <v>2400</v>
      </c>
      <c r="N54" s="310"/>
      <c r="O54" s="329"/>
      <c r="P54" s="329"/>
      <c r="Q54" s="311"/>
      <c r="R54" s="310">
        <v>2400</v>
      </c>
      <c r="S54" s="311"/>
      <c r="T54" s="311"/>
      <c r="U54" s="311"/>
      <c r="V54" s="311"/>
      <c r="W54" s="311"/>
      <c r="X54" s="311"/>
      <c r="Y54" s="312"/>
      <c r="Z54" s="337"/>
      <c r="AA54" s="313"/>
      <c r="AB54" s="256"/>
      <c r="AC54" s="205"/>
      <c r="AD54" s="286"/>
      <c r="AE54" s="205"/>
      <c r="AF54" s="286"/>
      <c r="AG54" s="287"/>
      <c r="AH54" s="287"/>
      <c r="AI54" s="287"/>
      <c r="AJ54" s="287"/>
      <c r="AK54" s="324"/>
      <c r="AL54" s="291"/>
      <c r="AM54" s="291"/>
      <c r="AN54" s="325"/>
      <c r="AO54" s="325"/>
      <c r="AP54" s="210"/>
      <c r="AQ54" s="210"/>
      <c r="AR54" s="210"/>
      <c r="AS54" s="293"/>
      <c r="AT54" s="210"/>
      <c r="AU54" s="302"/>
      <c r="AV54" s="293"/>
      <c r="AW54" s="293"/>
      <c r="AX54" s="302"/>
      <c r="AY54" s="208"/>
      <c r="AZ54" s="211"/>
      <c r="BA54" s="212"/>
    </row>
    <row r="55" spans="1:53" ht="18">
      <c r="A55" s="245"/>
      <c r="B55" s="245"/>
      <c r="C55" s="246"/>
      <c r="D55" s="215"/>
      <c r="E55" s="278"/>
      <c r="F55" s="215"/>
      <c r="G55" s="278"/>
      <c r="H55" s="279"/>
      <c r="I55" s="279"/>
      <c r="J55" s="279"/>
      <c r="K55" s="279"/>
      <c r="L55" s="213" t="s">
        <v>497</v>
      </c>
      <c r="M55" s="317"/>
      <c r="N55" s="317"/>
      <c r="O55" s="335"/>
      <c r="P55" s="335"/>
      <c r="Q55" s="283"/>
      <c r="R55" s="317"/>
      <c r="S55" s="283"/>
      <c r="T55" s="283"/>
      <c r="U55" s="283"/>
      <c r="V55" s="283"/>
      <c r="W55" s="283"/>
      <c r="X55" s="283"/>
      <c r="Y55" s="220"/>
      <c r="Z55" s="336"/>
      <c r="AA55" s="221"/>
      <c r="AB55" s="222"/>
      <c r="AC55" s="305"/>
      <c r="AD55" s="306"/>
      <c r="AE55" s="305"/>
      <c r="AF55" s="306"/>
      <c r="AG55" s="307"/>
      <c r="AH55" s="307"/>
      <c r="AI55" s="307"/>
      <c r="AJ55" s="307"/>
      <c r="AK55" s="328"/>
      <c r="AL55" s="310"/>
      <c r="AM55" s="310"/>
      <c r="AN55" s="329"/>
      <c r="AO55" s="329"/>
      <c r="AP55" s="312"/>
      <c r="AQ55" s="312"/>
      <c r="AR55" s="312"/>
      <c r="AS55" s="311"/>
      <c r="AT55" s="312"/>
      <c r="AU55" s="330"/>
      <c r="AV55" s="311"/>
      <c r="AW55" s="311"/>
      <c r="AX55" s="330"/>
      <c r="AY55" s="233"/>
      <c r="AZ55" s="313"/>
      <c r="BA55" s="256"/>
    </row>
    <row r="56" spans="1:53" customFormat="1" ht="19.5" customHeight="1">
      <c r="A56" s="399">
        <v>3</v>
      </c>
      <c r="B56" s="400">
        <v>10</v>
      </c>
      <c r="C56" s="401">
        <v>31</v>
      </c>
      <c r="D56" s="419">
        <v>3</v>
      </c>
      <c r="E56" s="3146" t="s">
        <v>498</v>
      </c>
      <c r="F56" s="3147"/>
      <c r="G56" s="3148"/>
      <c r="H56" s="420"/>
      <c r="I56" s="420"/>
      <c r="J56" s="420"/>
      <c r="K56" s="420"/>
      <c r="L56" s="421"/>
      <c r="M56" s="417"/>
      <c r="N56" s="422">
        <f>SUM(M57:M60)</f>
        <v>14400</v>
      </c>
      <c r="O56" s="422">
        <f t="shared" ref="O56:Z56" si="4">O57+O58+O59+O60</f>
        <v>0</v>
      </c>
      <c r="P56" s="422">
        <f t="shared" si="4"/>
        <v>0</v>
      </c>
      <c r="Q56" s="422">
        <f t="shared" si="4"/>
        <v>7200</v>
      </c>
      <c r="R56" s="422">
        <f t="shared" si="4"/>
        <v>0</v>
      </c>
      <c r="S56" s="422">
        <f t="shared" si="4"/>
        <v>0</v>
      </c>
      <c r="T56" s="422">
        <f t="shared" si="4"/>
        <v>0</v>
      </c>
      <c r="U56" s="422">
        <f t="shared" si="4"/>
        <v>0</v>
      </c>
      <c r="V56" s="422">
        <f t="shared" si="4"/>
        <v>0</v>
      </c>
      <c r="W56" s="422">
        <f t="shared" si="4"/>
        <v>7200</v>
      </c>
      <c r="X56" s="422">
        <f t="shared" si="4"/>
        <v>0</v>
      </c>
      <c r="Y56" s="422">
        <f t="shared" si="4"/>
        <v>0</v>
      </c>
      <c r="Z56" s="422">
        <f t="shared" si="4"/>
        <v>0</v>
      </c>
      <c r="AA56" s="2417" t="s">
        <v>1327</v>
      </c>
      <c r="AB56" s="2418" t="s">
        <v>280</v>
      </c>
    </row>
    <row r="57" spans="1:53" customFormat="1" ht="126" customHeight="1">
      <c r="A57" s="338"/>
      <c r="B57" s="338"/>
      <c r="C57" s="338"/>
      <c r="D57" s="3136"/>
      <c r="E57" s="3138" t="s">
        <v>499</v>
      </c>
      <c r="F57" s="3138" t="s">
        <v>500</v>
      </c>
      <c r="G57" s="3138" t="s">
        <v>501</v>
      </c>
      <c r="H57" s="3151" t="s">
        <v>239</v>
      </c>
      <c r="I57" s="3149"/>
      <c r="J57" s="3151" t="s">
        <v>239</v>
      </c>
      <c r="K57" s="3149"/>
      <c r="L57" s="339" t="s">
        <v>502</v>
      </c>
      <c r="M57" s="218">
        <f>60*70*2</f>
        <v>8400</v>
      </c>
      <c r="N57" s="261"/>
      <c r="O57" s="340"/>
      <c r="P57" s="341"/>
      <c r="Q57" s="342">
        <v>4200</v>
      </c>
      <c r="R57" s="341"/>
      <c r="S57" s="343"/>
      <c r="T57" s="341"/>
      <c r="U57" s="343"/>
      <c r="V57" s="341"/>
      <c r="W57" s="342">
        <v>4200</v>
      </c>
      <c r="X57" s="343"/>
      <c r="Y57" s="343"/>
      <c r="Z57" s="343"/>
      <c r="AA57" s="3140" t="s">
        <v>503</v>
      </c>
      <c r="AB57" s="3142"/>
    </row>
    <row r="58" spans="1:53" customFormat="1" ht="33.450000000000003">
      <c r="A58" s="344"/>
      <c r="B58" s="344"/>
      <c r="C58" s="344"/>
      <c r="D58" s="3137"/>
      <c r="E58" s="3139"/>
      <c r="F58" s="3139"/>
      <c r="G58" s="3139"/>
      <c r="H58" s="3152"/>
      <c r="I58" s="3150"/>
      <c r="J58" s="3152"/>
      <c r="K58" s="3150"/>
      <c r="L58" s="339" t="s">
        <v>504</v>
      </c>
      <c r="M58" s="274">
        <f>60*25*4</f>
        <v>6000</v>
      </c>
      <c r="N58" s="261"/>
      <c r="O58" s="345"/>
      <c r="P58" s="341"/>
      <c r="Q58" s="346">
        <v>3000</v>
      </c>
      <c r="R58" s="341"/>
      <c r="S58" s="347"/>
      <c r="T58" s="341"/>
      <c r="U58" s="347"/>
      <c r="V58" s="341"/>
      <c r="W58" s="346">
        <v>3000</v>
      </c>
      <c r="X58" s="341"/>
      <c r="Y58" s="347"/>
      <c r="Z58" s="341"/>
      <c r="AA58" s="3141"/>
      <c r="AB58" s="3143"/>
    </row>
    <row r="59" spans="1:53" customFormat="1" ht="90">
      <c r="A59" s="348"/>
      <c r="B59" s="348"/>
      <c r="C59" s="348"/>
      <c r="D59" s="349"/>
      <c r="E59" s="258" t="s">
        <v>505</v>
      </c>
      <c r="F59" s="258" t="s">
        <v>506</v>
      </c>
      <c r="G59" s="350" t="s">
        <v>507</v>
      </c>
      <c r="H59" s="351"/>
      <c r="I59" s="231" t="s">
        <v>239</v>
      </c>
      <c r="J59" s="352"/>
      <c r="K59" s="231" t="s">
        <v>239</v>
      </c>
      <c r="L59" s="353"/>
      <c r="M59" s="274"/>
      <c r="N59" s="261"/>
      <c r="O59" s="345"/>
      <c r="P59" s="341"/>
      <c r="Q59" s="347"/>
      <c r="R59" s="341"/>
      <c r="S59" s="347"/>
      <c r="T59" s="341"/>
      <c r="U59" s="347"/>
      <c r="V59" s="341"/>
      <c r="W59" s="347"/>
      <c r="X59" s="341"/>
      <c r="Y59" s="347"/>
      <c r="Z59" s="341"/>
      <c r="AA59" s="354" t="s">
        <v>508</v>
      </c>
      <c r="AB59" s="3143"/>
    </row>
    <row r="60" spans="1:53" customFormat="1" ht="98.25" customHeight="1">
      <c r="A60" s="338"/>
      <c r="B60" s="338"/>
      <c r="C60" s="338"/>
      <c r="D60" s="349"/>
      <c r="E60" s="248" t="s">
        <v>509</v>
      </c>
      <c r="F60" s="248" t="s">
        <v>510</v>
      </c>
      <c r="G60" s="355" t="s">
        <v>511</v>
      </c>
      <c r="H60" s="206" t="s">
        <v>239</v>
      </c>
      <c r="I60" s="206"/>
      <c r="J60" s="206" t="s">
        <v>239</v>
      </c>
      <c r="K60" s="206"/>
      <c r="L60" s="356"/>
      <c r="M60" s="208"/>
      <c r="N60" s="254"/>
      <c r="O60" s="357"/>
      <c r="P60" s="358"/>
      <c r="Q60" s="359"/>
      <c r="R60" s="358"/>
      <c r="S60" s="359"/>
      <c r="T60" s="358"/>
      <c r="U60" s="359"/>
      <c r="V60" s="358"/>
      <c r="W60" s="359"/>
      <c r="X60" s="358"/>
      <c r="Y60" s="359"/>
      <c r="Z60" s="358"/>
      <c r="AA60" s="360" t="s">
        <v>512</v>
      </c>
      <c r="AB60" s="3144"/>
    </row>
    <row r="61" spans="1:53" s="361" customFormat="1" ht="27" customHeight="1">
      <c r="A61" s="423">
        <v>4</v>
      </c>
      <c r="B61" s="424">
        <v>13</v>
      </c>
      <c r="C61" s="425">
        <v>36</v>
      </c>
      <c r="D61" s="426">
        <v>4</v>
      </c>
      <c r="E61" s="427" t="s">
        <v>513</v>
      </c>
      <c r="F61" s="427"/>
      <c r="G61" s="428"/>
      <c r="H61" s="429"/>
      <c r="I61" s="429"/>
      <c r="J61" s="429"/>
      <c r="K61" s="429"/>
      <c r="L61" s="429"/>
      <c r="M61" s="430"/>
      <c r="N61" s="418">
        <f>SUM(M62:M72)</f>
        <v>55200</v>
      </c>
      <c r="O61" s="162">
        <f>SUM(O62:O72)</f>
        <v>0</v>
      </c>
      <c r="P61" s="162">
        <f t="shared" ref="P61:Z61" si="5">SUM(P62:P72)</f>
        <v>8400</v>
      </c>
      <c r="Q61" s="162">
        <f t="shared" si="5"/>
        <v>7200</v>
      </c>
      <c r="R61" s="162">
        <f t="shared" si="5"/>
        <v>0</v>
      </c>
      <c r="S61" s="162">
        <f t="shared" si="5"/>
        <v>8400</v>
      </c>
      <c r="T61" s="162">
        <f t="shared" si="5"/>
        <v>0</v>
      </c>
      <c r="U61" s="162">
        <f t="shared" si="5"/>
        <v>0</v>
      </c>
      <c r="V61" s="162">
        <f t="shared" si="5"/>
        <v>8400</v>
      </c>
      <c r="W61" s="162">
        <f t="shared" si="5"/>
        <v>0</v>
      </c>
      <c r="X61" s="162">
        <f t="shared" si="5"/>
        <v>0</v>
      </c>
      <c r="Y61" s="162">
        <f t="shared" si="5"/>
        <v>8400</v>
      </c>
      <c r="Z61" s="162">
        <f t="shared" si="5"/>
        <v>14400</v>
      </c>
      <c r="AA61" s="2417" t="s">
        <v>1327</v>
      </c>
      <c r="AB61" s="2418" t="s">
        <v>280</v>
      </c>
    </row>
    <row r="62" spans="1:53" s="361" customFormat="1" ht="63" customHeight="1">
      <c r="A62" s="362"/>
      <c r="B62" s="362"/>
      <c r="C62" s="362"/>
      <c r="D62" s="363"/>
      <c r="E62" s="364" t="s">
        <v>514</v>
      </c>
      <c r="F62" s="365" t="s">
        <v>515</v>
      </c>
      <c r="G62" s="366" t="s">
        <v>516</v>
      </c>
      <c r="H62" s="367"/>
      <c r="I62" s="367"/>
      <c r="J62" s="367"/>
      <c r="K62" s="367" t="s">
        <v>239</v>
      </c>
      <c r="L62" s="365" t="s">
        <v>517</v>
      </c>
      <c r="M62" s="368">
        <v>4200</v>
      </c>
      <c r="N62" s="369"/>
      <c r="O62" s="370"/>
      <c r="P62" s="370"/>
      <c r="Q62" s="370"/>
      <c r="R62" s="370"/>
      <c r="S62" s="370"/>
      <c r="T62" s="370"/>
      <c r="U62" s="370"/>
      <c r="V62" s="370"/>
      <c r="W62" s="370"/>
      <c r="X62" s="370"/>
      <c r="Y62" s="370"/>
      <c r="Z62" s="367">
        <v>4200</v>
      </c>
      <c r="AA62" s="371" t="s">
        <v>518</v>
      </c>
      <c r="AB62" s="372"/>
    </row>
    <row r="63" spans="1:53" s="361" customFormat="1" ht="42.75" customHeight="1">
      <c r="A63" s="362"/>
      <c r="B63" s="362"/>
      <c r="C63" s="362"/>
      <c r="D63" s="363"/>
      <c r="E63" s="365"/>
      <c r="F63" s="365"/>
      <c r="G63" s="365" t="s">
        <v>519</v>
      </c>
      <c r="H63" s="367"/>
      <c r="I63" s="367"/>
      <c r="J63" s="367"/>
      <c r="K63" s="367"/>
      <c r="L63" s="365" t="s">
        <v>520</v>
      </c>
      <c r="M63" s="368">
        <v>3000</v>
      </c>
      <c r="N63" s="369"/>
      <c r="O63" s="370"/>
      <c r="P63" s="370"/>
      <c r="Q63" s="370"/>
      <c r="R63" s="370"/>
      <c r="S63" s="370"/>
      <c r="T63" s="370"/>
      <c r="U63" s="370"/>
      <c r="V63" s="370"/>
      <c r="W63" s="370"/>
      <c r="X63" s="370"/>
      <c r="Y63" s="370"/>
      <c r="Z63" s="370">
        <v>3000</v>
      </c>
      <c r="AA63" s="371"/>
      <c r="AB63" s="372"/>
    </row>
    <row r="64" spans="1:53" s="361" customFormat="1" ht="58.5" customHeight="1">
      <c r="A64" s="362"/>
      <c r="B64" s="362"/>
      <c r="C64" s="362"/>
      <c r="D64" s="98"/>
      <c r="E64" s="365"/>
      <c r="F64" s="365"/>
      <c r="G64" s="365" t="s">
        <v>521</v>
      </c>
      <c r="H64" s="367"/>
      <c r="I64" s="367"/>
      <c r="J64" s="367"/>
      <c r="K64" s="367"/>
      <c r="L64" s="365"/>
      <c r="M64" s="370"/>
      <c r="N64" s="369"/>
      <c r="O64" s="370"/>
      <c r="P64" s="370"/>
      <c r="Q64" s="370"/>
      <c r="R64" s="370"/>
      <c r="S64" s="370"/>
      <c r="T64" s="370"/>
      <c r="U64" s="370"/>
      <c r="V64" s="370"/>
      <c r="W64" s="370"/>
      <c r="X64" s="370"/>
      <c r="Y64" s="370"/>
      <c r="Z64" s="370"/>
      <c r="AA64" s="371"/>
      <c r="AB64" s="372"/>
    </row>
    <row r="65" spans="1:28" s="361" customFormat="1" ht="60">
      <c r="A65" s="362"/>
      <c r="B65" s="362"/>
      <c r="C65" s="362"/>
      <c r="D65" s="373"/>
      <c r="E65" s="374" t="s">
        <v>522</v>
      </c>
      <c r="F65" s="365" t="s">
        <v>515</v>
      </c>
      <c r="G65" s="372" t="s">
        <v>523</v>
      </c>
      <c r="H65" s="367" t="s">
        <v>239</v>
      </c>
      <c r="I65" s="367" t="s">
        <v>239</v>
      </c>
      <c r="J65" s="367" t="s">
        <v>239</v>
      </c>
      <c r="K65" s="367" t="s">
        <v>239</v>
      </c>
      <c r="L65" s="375" t="s">
        <v>524</v>
      </c>
      <c r="M65" s="376">
        <v>9800</v>
      </c>
      <c r="N65" s="92"/>
      <c r="O65" s="377"/>
      <c r="P65" s="378">
        <v>2450</v>
      </c>
      <c r="Q65" s="378"/>
      <c r="R65" s="378"/>
      <c r="S65" s="378">
        <v>2450</v>
      </c>
      <c r="T65" s="378"/>
      <c r="U65" s="378"/>
      <c r="V65" s="378">
        <v>2450</v>
      </c>
      <c r="W65" s="377"/>
      <c r="X65" s="377"/>
      <c r="Y65" s="367">
        <v>2450</v>
      </c>
      <c r="Z65" s="379"/>
      <c r="AA65" s="371" t="s">
        <v>518</v>
      </c>
      <c r="AB65" s="372"/>
    </row>
    <row r="66" spans="1:28" s="361" customFormat="1" ht="28.5" customHeight="1">
      <c r="A66" s="362"/>
      <c r="B66" s="362"/>
      <c r="C66" s="362"/>
      <c r="D66" s="98"/>
      <c r="E66" s="375"/>
      <c r="F66" s="372"/>
      <c r="G66" s="372" t="s">
        <v>525</v>
      </c>
      <c r="H66" s="367"/>
      <c r="I66" s="372"/>
      <c r="J66" s="372"/>
      <c r="K66" s="372"/>
      <c r="L66" s="372" t="s">
        <v>526</v>
      </c>
      <c r="M66" s="380">
        <v>7000</v>
      </c>
      <c r="N66" s="92"/>
      <c r="O66" s="381"/>
      <c r="P66" s="381">
        <v>1750</v>
      </c>
      <c r="Q66" s="381"/>
      <c r="R66" s="381"/>
      <c r="S66" s="381">
        <v>1750</v>
      </c>
      <c r="T66" s="381"/>
      <c r="U66" s="381"/>
      <c r="V66" s="381">
        <v>1750</v>
      </c>
      <c r="W66" s="381"/>
      <c r="X66" s="381"/>
      <c r="Y66" s="381">
        <v>1750</v>
      </c>
      <c r="Z66" s="381"/>
      <c r="AA66" s="372"/>
      <c r="AB66" s="372"/>
    </row>
    <row r="67" spans="1:28" s="361" customFormat="1" ht="26.25" customHeight="1">
      <c r="A67" s="362"/>
      <c r="B67" s="362"/>
      <c r="C67" s="362"/>
      <c r="D67" s="98"/>
      <c r="E67" s="375"/>
      <c r="F67" s="372"/>
      <c r="G67" s="372" t="s">
        <v>527</v>
      </c>
      <c r="H67" s="367"/>
      <c r="I67" s="367"/>
      <c r="J67" s="367"/>
      <c r="K67" s="367"/>
      <c r="L67" s="372"/>
      <c r="M67" s="382"/>
      <c r="N67" s="92"/>
      <c r="O67" s="381"/>
      <c r="P67" s="381"/>
      <c r="Q67" s="381"/>
      <c r="R67" s="381"/>
      <c r="S67" s="381"/>
      <c r="T67" s="381"/>
      <c r="U67" s="381"/>
      <c r="V67" s="381"/>
      <c r="W67" s="381"/>
      <c r="X67" s="381"/>
      <c r="Y67" s="381"/>
      <c r="Z67" s="381"/>
      <c r="AA67" s="372"/>
      <c r="AB67" s="372"/>
    </row>
    <row r="68" spans="1:28" s="361" customFormat="1" ht="21" customHeight="1">
      <c r="A68" s="362"/>
      <c r="B68" s="362"/>
      <c r="C68" s="362"/>
      <c r="D68" s="98"/>
      <c r="E68" s="375"/>
      <c r="F68" s="372"/>
      <c r="G68" s="372"/>
      <c r="H68" s="383"/>
      <c r="I68" s="367"/>
      <c r="J68" s="372"/>
      <c r="K68" s="367"/>
      <c r="L68" s="372"/>
      <c r="M68" s="382"/>
      <c r="N68" s="92"/>
      <c r="O68" s="381"/>
      <c r="P68" s="381"/>
      <c r="Q68" s="381"/>
      <c r="R68" s="381"/>
      <c r="S68" s="381"/>
      <c r="T68" s="381"/>
      <c r="U68" s="381"/>
      <c r="V68" s="381"/>
      <c r="W68" s="381"/>
      <c r="X68" s="381"/>
      <c r="Y68" s="381"/>
      <c r="Z68" s="381"/>
      <c r="AA68" s="372"/>
      <c r="AB68" s="372"/>
    </row>
    <row r="69" spans="1:28" s="361" customFormat="1" ht="57.75" customHeight="1">
      <c r="A69" s="362"/>
      <c r="B69" s="362"/>
      <c r="C69" s="362"/>
      <c r="D69" s="98"/>
      <c r="E69" s="374" t="s">
        <v>528</v>
      </c>
      <c r="F69" s="365" t="s">
        <v>515</v>
      </c>
      <c r="G69" s="372" t="s">
        <v>529</v>
      </c>
      <c r="H69" s="367" t="s">
        <v>239</v>
      </c>
      <c r="I69" s="367" t="s">
        <v>239</v>
      </c>
      <c r="J69" s="367" t="s">
        <v>239</v>
      </c>
      <c r="K69" s="367" t="s">
        <v>239</v>
      </c>
      <c r="L69" s="375" t="s">
        <v>530</v>
      </c>
      <c r="M69" s="380">
        <v>9800</v>
      </c>
      <c r="N69" s="92"/>
      <c r="O69" s="381"/>
      <c r="P69" s="378">
        <v>2450</v>
      </c>
      <c r="Q69" s="378"/>
      <c r="R69" s="378"/>
      <c r="S69" s="378">
        <v>2450</v>
      </c>
      <c r="T69" s="378"/>
      <c r="U69" s="378"/>
      <c r="V69" s="378">
        <v>2450</v>
      </c>
      <c r="W69" s="377"/>
      <c r="X69" s="377"/>
      <c r="Y69" s="367">
        <v>2450</v>
      </c>
      <c r="Z69" s="378"/>
      <c r="AA69" s="371" t="s">
        <v>518</v>
      </c>
      <c r="AB69" s="372"/>
    </row>
    <row r="70" spans="1:28" s="361" customFormat="1" ht="33.75" customHeight="1">
      <c r="A70" s="362"/>
      <c r="B70" s="362"/>
      <c r="C70" s="362"/>
      <c r="D70" s="98"/>
      <c r="E70" s="375"/>
      <c r="F70" s="372"/>
      <c r="G70" s="372"/>
      <c r="H70" s="372"/>
      <c r="I70" s="367"/>
      <c r="J70" s="372"/>
      <c r="K70" s="372"/>
      <c r="L70" s="372" t="s">
        <v>526</v>
      </c>
      <c r="M70" s="380">
        <v>7000</v>
      </c>
      <c r="N70" s="92"/>
      <c r="O70" s="381"/>
      <c r="P70" s="381">
        <v>1750</v>
      </c>
      <c r="Q70" s="381"/>
      <c r="R70" s="381"/>
      <c r="S70" s="381">
        <v>1750</v>
      </c>
      <c r="T70" s="381"/>
      <c r="U70" s="381"/>
      <c r="V70" s="381">
        <v>1750</v>
      </c>
      <c r="W70" s="381"/>
      <c r="X70" s="381"/>
      <c r="Y70" s="381">
        <v>1750</v>
      </c>
      <c r="Z70" s="381"/>
      <c r="AA70" s="372"/>
      <c r="AB70" s="372"/>
    </row>
    <row r="71" spans="1:28" s="361" customFormat="1" ht="39.75" customHeight="1">
      <c r="A71" s="362"/>
      <c r="B71" s="362"/>
      <c r="C71" s="362"/>
      <c r="D71" s="98"/>
      <c r="E71" s="384" t="s">
        <v>531</v>
      </c>
      <c r="F71" s="375" t="s">
        <v>532</v>
      </c>
      <c r="G71" s="372" t="s">
        <v>533</v>
      </c>
      <c r="H71" s="367" t="s">
        <v>239</v>
      </c>
      <c r="I71" s="367"/>
      <c r="J71" s="372"/>
      <c r="K71" s="367" t="s">
        <v>239</v>
      </c>
      <c r="L71" s="365" t="s">
        <v>534</v>
      </c>
      <c r="M71" s="385">
        <v>8400</v>
      </c>
      <c r="N71" s="92"/>
      <c r="O71" s="381"/>
      <c r="P71" s="381"/>
      <c r="Q71" s="381">
        <v>4200</v>
      </c>
      <c r="R71" s="381"/>
      <c r="S71" s="381"/>
      <c r="T71" s="381"/>
      <c r="U71" s="381"/>
      <c r="V71" s="381"/>
      <c r="W71" s="381"/>
      <c r="X71" s="381"/>
      <c r="Y71" s="381"/>
      <c r="Z71" s="381">
        <v>4200</v>
      </c>
      <c r="AA71" s="364" t="s">
        <v>535</v>
      </c>
      <c r="AB71" s="372"/>
    </row>
    <row r="72" spans="1:28" s="361" customFormat="1" ht="39.75" customHeight="1">
      <c r="A72" s="362"/>
      <c r="B72" s="362"/>
      <c r="C72" s="362"/>
      <c r="D72" s="98"/>
      <c r="E72" s="375"/>
      <c r="F72" s="372"/>
      <c r="G72" s="372"/>
      <c r="H72" s="372"/>
      <c r="I72" s="372"/>
      <c r="J72" s="372"/>
      <c r="K72" s="367"/>
      <c r="L72" s="365" t="s">
        <v>536</v>
      </c>
      <c r="M72" s="376">
        <v>6000</v>
      </c>
      <c r="N72" s="386"/>
      <c r="O72" s="381"/>
      <c r="P72" s="381"/>
      <c r="Q72" s="381">
        <v>3000</v>
      </c>
      <c r="R72" s="381"/>
      <c r="S72" s="381"/>
      <c r="T72" s="381"/>
      <c r="U72" s="381"/>
      <c r="V72" s="381"/>
      <c r="W72" s="381"/>
      <c r="X72" s="381"/>
      <c r="Y72" s="381"/>
      <c r="Z72" s="381">
        <v>3000</v>
      </c>
      <c r="AA72" s="372"/>
      <c r="AB72" s="372"/>
    </row>
    <row r="73" spans="1:28" ht="21.45">
      <c r="A73" s="387"/>
      <c r="B73" s="388"/>
      <c r="C73" s="388"/>
      <c r="D73" s="389"/>
      <c r="E73" s="390"/>
      <c r="F73" s="391"/>
      <c r="G73" s="391"/>
      <c r="H73" s="391"/>
      <c r="I73" s="392"/>
      <c r="J73" s="391"/>
      <c r="K73" s="391"/>
      <c r="L73" s="393" t="s">
        <v>386</v>
      </c>
      <c r="M73" s="394"/>
      <c r="N73" s="395">
        <f>N61+N56+N19+N11</f>
        <v>215325</v>
      </c>
      <c r="O73" s="396"/>
      <c r="P73" s="396"/>
      <c r="Q73" s="396"/>
      <c r="R73" s="396"/>
      <c r="S73" s="396"/>
      <c r="T73" s="396"/>
      <c r="U73" s="396"/>
      <c r="V73" s="396"/>
      <c r="W73" s="396"/>
      <c r="X73" s="396"/>
      <c r="Y73" s="396"/>
      <c r="Z73" s="397"/>
      <c r="AA73" s="398"/>
      <c r="AB73" s="398"/>
    </row>
  </sheetData>
  <mergeCells count="29">
    <mergeCell ref="D1:AB1"/>
    <mergeCell ref="D8:D10"/>
    <mergeCell ref="E8:E10"/>
    <mergeCell ref="F8:F10"/>
    <mergeCell ref="G8:G10"/>
    <mergeCell ref="H8:K9"/>
    <mergeCell ref="L8:M9"/>
    <mergeCell ref="N8:N10"/>
    <mergeCell ref="O8:Z8"/>
    <mergeCell ref="AA8:AA10"/>
    <mergeCell ref="AB8:AB10"/>
    <mergeCell ref="O9:Q9"/>
    <mergeCell ref="R9:T9"/>
    <mergeCell ref="U9:W9"/>
    <mergeCell ref="X9:Z9"/>
    <mergeCell ref="AA57:AA58"/>
    <mergeCell ref="AB57:AB60"/>
    <mergeCell ref="AA16:AA18"/>
    <mergeCell ref="E56:G56"/>
    <mergeCell ref="I57:I58"/>
    <mergeCell ref="J57:J58"/>
    <mergeCell ref="K57:K58"/>
    <mergeCell ref="H57:H58"/>
    <mergeCell ref="E12:E13"/>
    <mergeCell ref="G12:G13"/>
    <mergeCell ref="D57:D58"/>
    <mergeCell ref="E57:E58"/>
    <mergeCell ref="F57:F58"/>
    <mergeCell ref="G57:G5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8F7F3-9B31-40EF-9980-A0DC86607B9F}">
  <sheetPr>
    <tabColor rgb="FF92D050"/>
  </sheetPr>
  <dimension ref="A1:AK141"/>
  <sheetViews>
    <sheetView zoomScale="40" zoomScaleNormal="40" workbookViewId="0">
      <selection activeCell="M6" sqref="M6"/>
    </sheetView>
  </sheetViews>
  <sheetFormatPr defaultRowHeight="34.950000000000003" customHeight="1"/>
  <cols>
    <col min="1" max="1" width="4.28515625" style="1348" customWidth="1"/>
    <col min="2" max="2" width="6.5703125" style="1349" customWidth="1"/>
    <col min="3" max="3" width="7.42578125" style="1349" bestFit="1" customWidth="1"/>
    <col min="4" max="4" width="6.0703125" style="1349" customWidth="1"/>
    <col min="5" max="5" width="15.5703125" style="1351" customWidth="1"/>
    <col min="6" max="6" width="35.92578125" style="1349" customWidth="1"/>
    <col min="7" max="7" width="34.28515625" style="1349" customWidth="1"/>
    <col min="8" max="8" width="3.78515625" style="1349" customWidth="1"/>
    <col min="9" max="10" width="4.0703125" style="1349" customWidth="1"/>
    <col min="11" max="11" width="4.2109375" style="1349" customWidth="1"/>
    <col min="12" max="12" width="21.7109375" style="1349" customWidth="1"/>
    <col min="13" max="13" width="13.2109375" style="1349" customWidth="1"/>
    <col min="14" max="14" width="13.0703125" style="1354" customWidth="1"/>
    <col min="15" max="16" width="8.0703125" style="1355" customWidth="1"/>
    <col min="17" max="17" width="20.78515625" style="1355" customWidth="1"/>
    <col min="18" max="18" width="10.28515625" style="1355" customWidth="1"/>
    <col min="19" max="19" width="8.0703125" style="1355" customWidth="1"/>
    <col min="20" max="20" width="10.78515625" style="1355" customWidth="1"/>
    <col min="21" max="26" width="8.0703125" style="1355" customWidth="1"/>
    <col min="27" max="27" width="10.5703125" style="1356" customWidth="1"/>
    <col min="28" max="28" width="22.5" style="1356" customWidth="1"/>
    <col min="29" max="29" width="11.5" style="1349" customWidth="1"/>
    <col min="30" max="255" width="9.140625" style="1349"/>
    <col min="256" max="256" width="4.28515625" style="1349" customWidth="1"/>
    <col min="257" max="257" width="20.5703125" style="1349" customWidth="1"/>
    <col min="258" max="258" width="12.28515625" style="1349" customWidth="1"/>
    <col min="259" max="259" width="12.5703125" style="1349" customWidth="1"/>
    <col min="260" max="260" width="3.78515625" style="1349" customWidth="1"/>
    <col min="261" max="262" width="4.0703125" style="1349" customWidth="1"/>
    <col min="263" max="263" width="4" style="1349" customWidth="1"/>
    <col min="264" max="264" width="16.28515625" style="1349" customWidth="1"/>
    <col min="265" max="265" width="5.5703125" style="1349" customWidth="1"/>
    <col min="266" max="266" width="8.7109375" style="1349" customWidth="1"/>
    <col min="267" max="267" width="5.28515625" style="1349" customWidth="1"/>
    <col min="268" max="268" width="4.28515625" style="1349" customWidth="1"/>
    <col min="269" max="269" width="4.0703125" style="1349" customWidth="1"/>
    <col min="270" max="270" width="3.0703125" style="1349" customWidth="1"/>
    <col min="271" max="271" width="4.5703125" style="1349" customWidth="1"/>
    <col min="272" max="272" width="4.28515625" style="1349" customWidth="1"/>
    <col min="273" max="273" width="4" style="1349" customWidth="1"/>
    <col min="274" max="274" width="3" style="1349" customWidth="1"/>
    <col min="275" max="275" width="3.78515625" style="1349" customWidth="1"/>
    <col min="276" max="276" width="4.28515625" style="1349" customWidth="1"/>
    <col min="277" max="277" width="3.28515625" style="1349" customWidth="1"/>
    <col min="278" max="278" width="4.78515625" style="1349" customWidth="1"/>
    <col min="279" max="279" width="10.5703125" style="1349" customWidth="1"/>
    <col min="280" max="280" width="7.0703125" style="1349" customWidth="1"/>
    <col min="281" max="281" width="8.0703125" style="1349" customWidth="1"/>
    <col min="282" max="282" width="7.5703125" style="1349" customWidth="1"/>
    <col min="283" max="284" width="7.7109375" style="1349" customWidth="1"/>
    <col min="285" max="285" width="7.0703125" style="1349" customWidth="1"/>
    <col min="286" max="511" width="9.140625" style="1349"/>
    <col min="512" max="512" width="4.28515625" style="1349" customWidth="1"/>
    <col min="513" max="513" width="20.5703125" style="1349" customWidth="1"/>
    <col min="514" max="514" width="12.28515625" style="1349" customWidth="1"/>
    <col min="515" max="515" width="12.5703125" style="1349" customWidth="1"/>
    <col min="516" max="516" width="3.78515625" style="1349" customWidth="1"/>
    <col min="517" max="518" width="4.0703125" style="1349" customWidth="1"/>
    <col min="519" max="519" width="4" style="1349" customWidth="1"/>
    <col min="520" max="520" width="16.28515625" style="1349" customWidth="1"/>
    <col min="521" max="521" width="5.5703125" style="1349" customWidth="1"/>
    <col min="522" max="522" width="8.7109375" style="1349" customWidth="1"/>
    <col min="523" max="523" width="5.28515625" style="1349" customWidth="1"/>
    <col min="524" max="524" width="4.28515625" style="1349" customWidth="1"/>
    <col min="525" max="525" width="4.0703125" style="1349" customWidth="1"/>
    <col min="526" max="526" width="3.0703125" style="1349" customWidth="1"/>
    <col min="527" max="527" width="4.5703125" style="1349" customWidth="1"/>
    <col min="528" max="528" width="4.28515625" style="1349" customWidth="1"/>
    <col min="529" max="529" width="4" style="1349" customWidth="1"/>
    <col min="530" max="530" width="3" style="1349" customWidth="1"/>
    <col min="531" max="531" width="3.78515625" style="1349" customWidth="1"/>
    <col min="532" max="532" width="4.28515625" style="1349" customWidth="1"/>
    <col min="533" max="533" width="3.28515625" style="1349" customWidth="1"/>
    <col min="534" max="534" width="4.78515625" style="1349" customWidth="1"/>
    <col min="535" max="535" width="10.5703125" style="1349" customWidth="1"/>
    <col min="536" max="536" width="7.0703125" style="1349" customWidth="1"/>
    <col min="537" max="537" width="8.0703125" style="1349" customWidth="1"/>
    <col min="538" max="538" width="7.5703125" style="1349" customWidth="1"/>
    <col min="539" max="540" width="7.7109375" style="1349" customWidth="1"/>
    <col min="541" max="541" width="7.0703125" style="1349" customWidth="1"/>
    <col min="542" max="767" width="9.140625" style="1349"/>
    <col min="768" max="768" width="4.28515625" style="1349" customWidth="1"/>
    <col min="769" max="769" width="20.5703125" style="1349" customWidth="1"/>
    <col min="770" max="770" width="12.28515625" style="1349" customWidth="1"/>
    <col min="771" max="771" width="12.5703125" style="1349" customWidth="1"/>
    <col min="772" max="772" width="3.78515625" style="1349" customWidth="1"/>
    <col min="773" max="774" width="4.0703125" style="1349" customWidth="1"/>
    <col min="775" max="775" width="4" style="1349" customWidth="1"/>
    <col min="776" max="776" width="16.28515625" style="1349" customWidth="1"/>
    <col min="777" max="777" width="5.5703125" style="1349" customWidth="1"/>
    <col min="778" max="778" width="8.7109375" style="1349" customWidth="1"/>
    <col min="779" max="779" width="5.28515625" style="1349" customWidth="1"/>
    <col min="780" max="780" width="4.28515625" style="1349" customWidth="1"/>
    <col min="781" max="781" width="4.0703125" style="1349" customWidth="1"/>
    <col min="782" max="782" width="3.0703125" style="1349" customWidth="1"/>
    <col min="783" max="783" width="4.5703125" style="1349" customWidth="1"/>
    <col min="784" max="784" width="4.28515625" style="1349" customWidth="1"/>
    <col min="785" max="785" width="4" style="1349" customWidth="1"/>
    <col min="786" max="786" width="3" style="1349" customWidth="1"/>
    <col min="787" max="787" width="3.78515625" style="1349" customWidth="1"/>
    <col min="788" max="788" width="4.28515625" style="1349" customWidth="1"/>
    <col min="789" max="789" width="3.28515625" style="1349" customWidth="1"/>
    <col min="790" max="790" width="4.78515625" style="1349" customWidth="1"/>
    <col min="791" max="791" width="10.5703125" style="1349" customWidth="1"/>
    <col min="792" max="792" width="7.0703125" style="1349" customWidth="1"/>
    <col min="793" max="793" width="8.0703125" style="1349" customWidth="1"/>
    <col min="794" max="794" width="7.5703125" style="1349" customWidth="1"/>
    <col min="795" max="796" width="7.7109375" style="1349" customWidth="1"/>
    <col min="797" max="797" width="7.0703125" style="1349" customWidth="1"/>
    <col min="798" max="1023" width="9.140625" style="1349"/>
    <col min="1024" max="1024" width="4.28515625" style="1349" customWidth="1"/>
    <col min="1025" max="1025" width="20.5703125" style="1349" customWidth="1"/>
    <col min="1026" max="1026" width="12.28515625" style="1349" customWidth="1"/>
    <col min="1027" max="1027" width="12.5703125" style="1349" customWidth="1"/>
    <col min="1028" max="1028" width="3.78515625" style="1349" customWidth="1"/>
    <col min="1029" max="1030" width="4.0703125" style="1349" customWidth="1"/>
    <col min="1031" max="1031" width="4" style="1349" customWidth="1"/>
    <col min="1032" max="1032" width="16.28515625" style="1349" customWidth="1"/>
    <col min="1033" max="1033" width="5.5703125" style="1349" customWidth="1"/>
    <col min="1034" max="1034" width="8.7109375" style="1349" customWidth="1"/>
    <col min="1035" max="1035" width="5.28515625" style="1349" customWidth="1"/>
    <col min="1036" max="1036" width="4.28515625" style="1349" customWidth="1"/>
    <col min="1037" max="1037" width="4.0703125" style="1349" customWidth="1"/>
    <col min="1038" max="1038" width="3.0703125" style="1349" customWidth="1"/>
    <col min="1039" max="1039" width="4.5703125" style="1349" customWidth="1"/>
    <col min="1040" max="1040" width="4.28515625" style="1349" customWidth="1"/>
    <col min="1041" max="1041" width="4" style="1349" customWidth="1"/>
    <col min="1042" max="1042" width="3" style="1349" customWidth="1"/>
    <col min="1043" max="1043" width="3.78515625" style="1349" customWidth="1"/>
    <col min="1044" max="1044" width="4.28515625" style="1349" customWidth="1"/>
    <col min="1045" max="1045" width="3.28515625" style="1349" customWidth="1"/>
    <col min="1046" max="1046" width="4.78515625" style="1349" customWidth="1"/>
    <col min="1047" max="1047" width="10.5703125" style="1349" customWidth="1"/>
    <col min="1048" max="1048" width="7.0703125" style="1349" customWidth="1"/>
    <col min="1049" max="1049" width="8.0703125" style="1349" customWidth="1"/>
    <col min="1050" max="1050" width="7.5703125" style="1349" customWidth="1"/>
    <col min="1051" max="1052" width="7.7109375" style="1349" customWidth="1"/>
    <col min="1053" max="1053" width="7.0703125" style="1349" customWidth="1"/>
    <col min="1054" max="1279" width="9.140625" style="1349"/>
    <col min="1280" max="1280" width="4.28515625" style="1349" customWidth="1"/>
    <col min="1281" max="1281" width="20.5703125" style="1349" customWidth="1"/>
    <col min="1282" max="1282" width="12.28515625" style="1349" customWidth="1"/>
    <col min="1283" max="1283" width="12.5703125" style="1349" customWidth="1"/>
    <col min="1284" max="1284" width="3.78515625" style="1349" customWidth="1"/>
    <col min="1285" max="1286" width="4.0703125" style="1349" customWidth="1"/>
    <col min="1287" max="1287" width="4" style="1349" customWidth="1"/>
    <col min="1288" max="1288" width="16.28515625" style="1349" customWidth="1"/>
    <col min="1289" max="1289" width="5.5703125" style="1349" customWidth="1"/>
    <col min="1290" max="1290" width="8.7109375" style="1349" customWidth="1"/>
    <col min="1291" max="1291" width="5.28515625" style="1349" customWidth="1"/>
    <col min="1292" max="1292" width="4.28515625" style="1349" customWidth="1"/>
    <col min="1293" max="1293" width="4.0703125" style="1349" customWidth="1"/>
    <col min="1294" max="1294" width="3.0703125" style="1349" customWidth="1"/>
    <col min="1295" max="1295" width="4.5703125" style="1349" customWidth="1"/>
    <col min="1296" max="1296" width="4.28515625" style="1349" customWidth="1"/>
    <col min="1297" max="1297" width="4" style="1349" customWidth="1"/>
    <col min="1298" max="1298" width="3" style="1349" customWidth="1"/>
    <col min="1299" max="1299" width="3.78515625" style="1349" customWidth="1"/>
    <col min="1300" max="1300" width="4.28515625" style="1349" customWidth="1"/>
    <col min="1301" max="1301" width="3.28515625" style="1349" customWidth="1"/>
    <col min="1302" max="1302" width="4.78515625" style="1349" customWidth="1"/>
    <col min="1303" max="1303" width="10.5703125" style="1349" customWidth="1"/>
    <col min="1304" max="1304" width="7.0703125" style="1349" customWidth="1"/>
    <col min="1305" max="1305" width="8.0703125" style="1349" customWidth="1"/>
    <col min="1306" max="1306" width="7.5703125" style="1349" customWidth="1"/>
    <col min="1307" max="1308" width="7.7109375" style="1349" customWidth="1"/>
    <col min="1309" max="1309" width="7.0703125" style="1349" customWidth="1"/>
    <col min="1310" max="1535" width="9.140625" style="1349"/>
    <col min="1536" max="1536" width="4.28515625" style="1349" customWidth="1"/>
    <col min="1537" max="1537" width="20.5703125" style="1349" customWidth="1"/>
    <col min="1538" max="1538" width="12.28515625" style="1349" customWidth="1"/>
    <col min="1539" max="1539" width="12.5703125" style="1349" customWidth="1"/>
    <col min="1540" max="1540" width="3.78515625" style="1349" customWidth="1"/>
    <col min="1541" max="1542" width="4.0703125" style="1349" customWidth="1"/>
    <col min="1543" max="1543" width="4" style="1349" customWidth="1"/>
    <col min="1544" max="1544" width="16.28515625" style="1349" customWidth="1"/>
    <col min="1545" max="1545" width="5.5703125" style="1349" customWidth="1"/>
    <col min="1546" max="1546" width="8.7109375" style="1349" customWidth="1"/>
    <col min="1547" max="1547" width="5.28515625" style="1349" customWidth="1"/>
    <col min="1548" max="1548" width="4.28515625" style="1349" customWidth="1"/>
    <col min="1549" max="1549" width="4.0703125" style="1349" customWidth="1"/>
    <col min="1550" max="1550" width="3.0703125" style="1349" customWidth="1"/>
    <col min="1551" max="1551" width="4.5703125" style="1349" customWidth="1"/>
    <col min="1552" max="1552" width="4.28515625" style="1349" customWidth="1"/>
    <col min="1553" max="1553" width="4" style="1349" customWidth="1"/>
    <col min="1554" max="1554" width="3" style="1349" customWidth="1"/>
    <col min="1555" max="1555" width="3.78515625" style="1349" customWidth="1"/>
    <col min="1556" max="1556" width="4.28515625" style="1349" customWidth="1"/>
    <col min="1557" max="1557" width="3.28515625" style="1349" customWidth="1"/>
    <col min="1558" max="1558" width="4.78515625" style="1349" customWidth="1"/>
    <col min="1559" max="1559" width="10.5703125" style="1349" customWidth="1"/>
    <col min="1560" max="1560" width="7.0703125" style="1349" customWidth="1"/>
    <col min="1561" max="1561" width="8.0703125" style="1349" customWidth="1"/>
    <col min="1562" max="1562" width="7.5703125" style="1349" customWidth="1"/>
    <col min="1563" max="1564" width="7.7109375" style="1349" customWidth="1"/>
    <col min="1565" max="1565" width="7.0703125" style="1349" customWidth="1"/>
    <col min="1566" max="1791" width="9.140625" style="1349"/>
    <col min="1792" max="1792" width="4.28515625" style="1349" customWidth="1"/>
    <col min="1793" max="1793" width="20.5703125" style="1349" customWidth="1"/>
    <col min="1794" max="1794" width="12.28515625" style="1349" customWidth="1"/>
    <col min="1795" max="1795" width="12.5703125" style="1349" customWidth="1"/>
    <col min="1796" max="1796" width="3.78515625" style="1349" customWidth="1"/>
    <col min="1797" max="1798" width="4.0703125" style="1349" customWidth="1"/>
    <col min="1799" max="1799" width="4" style="1349" customWidth="1"/>
    <col min="1800" max="1800" width="16.28515625" style="1349" customWidth="1"/>
    <col min="1801" max="1801" width="5.5703125" style="1349" customWidth="1"/>
    <col min="1802" max="1802" width="8.7109375" style="1349" customWidth="1"/>
    <col min="1803" max="1803" width="5.28515625" style="1349" customWidth="1"/>
    <col min="1804" max="1804" width="4.28515625" style="1349" customWidth="1"/>
    <col min="1805" max="1805" width="4.0703125" style="1349" customWidth="1"/>
    <col min="1806" max="1806" width="3.0703125" style="1349" customWidth="1"/>
    <col min="1807" max="1807" width="4.5703125" style="1349" customWidth="1"/>
    <col min="1808" max="1808" width="4.28515625" style="1349" customWidth="1"/>
    <col min="1809" max="1809" width="4" style="1349" customWidth="1"/>
    <col min="1810" max="1810" width="3" style="1349" customWidth="1"/>
    <col min="1811" max="1811" width="3.78515625" style="1349" customWidth="1"/>
    <col min="1812" max="1812" width="4.28515625" style="1349" customWidth="1"/>
    <col min="1813" max="1813" width="3.28515625" style="1349" customWidth="1"/>
    <col min="1814" max="1814" width="4.78515625" style="1349" customWidth="1"/>
    <col min="1815" max="1815" width="10.5703125" style="1349" customWidth="1"/>
    <col min="1816" max="1816" width="7.0703125" style="1349" customWidth="1"/>
    <col min="1817" max="1817" width="8.0703125" style="1349" customWidth="1"/>
    <col min="1818" max="1818" width="7.5703125" style="1349" customWidth="1"/>
    <col min="1819" max="1820" width="7.7109375" style="1349" customWidth="1"/>
    <col min="1821" max="1821" width="7.0703125" style="1349" customWidth="1"/>
    <col min="1822" max="2047" width="9.140625" style="1349"/>
    <col min="2048" max="2048" width="4.28515625" style="1349" customWidth="1"/>
    <col min="2049" max="2049" width="20.5703125" style="1349" customWidth="1"/>
    <col min="2050" max="2050" width="12.28515625" style="1349" customWidth="1"/>
    <col min="2051" max="2051" width="12.5703125" style="1349" customWidth="1"/>
    <col min="2052" max="2052" width="3.78515625" style="1349" customWidth="1"/>
    <col min="2053" max="2054" width="4.0703125" style="1349" customWidth="1"/>
    <col min="2055" max="2055" width="4" style="1349" customWidth="1"/>
    <col min="2056" max="2056" width="16.28515625" style="1349" customWidth="1"/>
    <col min="2057" max="2057" width="5.5703125" style="1349" customWidth="1"/>
    <col min="2058" max="2058" width="8.7109375" style="1349" customWidth="1"/>
    <col min="2059" max="2059" width="5.28515625" style="1349" customWidth="1"/>
    <col min="2060" max="2060" width="4.28515625" style="1349" customWidth="1"/>
    <col min="2061" max="2061" width="4.0703125" style="1349" customWidth="1"/>
    <col min="2062" max="2062" width="3.0703125" style="1349" customWidth="1"/>
    <col min="2063" max="2063" width="4.5703125" style="1349" customWidth="1"/>
    <col min="2064" max="2064" width="4.28515625" style="1349" customWidth="1"/>
    <col min="2065" max="2065" width="4" style="1349" customWidth="1"/>
    <col min="2066" max="2066" width="3" style="1349" customWidth="1"/>
    <col min="2067" max="2067" width="3.78515625" style="1349" customWidth="1"/>
    <col min="2068" max="2068" width="4.28515625" style="1349" customWidth="1"/>
    <col min="2069" max="2069" width="3.28515625" style="1349" customWidth="1"/>
    <col min="2070" max="2070" width="4.78515625" style="1349" customWidth="1"/>
    <col min="2071" max="2071" width="10.5703125" style="1349" customWidth="1"/>
    <col min="2072" max="2072" width="7.0703125" style="1349" customWidth="1"/>
    <col min="2073" max="2073" width="8.0703125" style="1349" customWidth="1"/>
    <col min="2074" max="2074" width="7.5703125" style="1349" customWidth="1"/>
    <col min="2075" max="2076" width="7.7109375" style="1349" customWidth="1"/>
    <col min="2077" max="2077" width="7.0703125" style="1349" customWidth="1"/>
    <col min="2078" max="2303" width="9.140625" style="1349"/>
    <col min="2304" max="2304" width="4.28515625" style="1349" customWidth="1"/>
    <col min="2305" max="2305" width="20.5703125" style="1349" customWidth="1"/>
    <col min="2306" max="2306" width="12.28515625" style="1349" customWidth="1"/>
    <col min="2307" max="2307" width="12.5703125" style="1349" customWidth="1"/>
    <col min="2308" max="2308" width="3.78515625" style="1349" customWidth="1"/>
    <col min="2309" max="2310" width="4.0703125" style="1349" customWidth="1"/>
    <col min="2311" max="2311" width="4" style="1349" customWidth="1"/>
    <col min="2312" max="2312" width="16.28515625" style="1349" customWidth="1"/>
    <col min="2313" max="2313" width="5.5703125" style="1349" customWidth="1"/>
    <col min="2314" max="2314" width="8.7109375" style="1349" customWidth="1"/>
    <col min="2315" max="2315" width="5.28515625" style="1349" customWidth="1"/>
    <col min="2316" max="2316" width="4.28515625" style="1349" customWidth="1"/>
    <col min="2317" max="2317" width="4.0703125" style="1349" customWidth="1"/>
    <col min="2318" max="2318" width="3.0703125" style="1349" customWidth="1"/>
    <col min="2319" max="2319" width="4.5703125" style="1349" customWidth="1"/>
    <col min="2320" max="2320" width="4.28515625" style="1349" customWidth="1"/>
    <col min="2321" max="2321" width="4" style="1349" customWidth="1"/>
    <col min="2322" max="2322" width="3" style="1349" customWidth="1"/>
    <col min="2323" max="2323" width="3.78515625" style="1349" customWidth="1"/>
    <col min="2324" max="2324" width="4.28515625" style="1349" customWidth="1"/>
    <col min="2325" max="2325" width="3.28515625" style="1349" customWidth="1"/>
    <col min="2326" max="2326" width="4.78515625" style="1349" customWidth="1"/>
    <col min="2327" max="2327" width="10.5703125" style="1349" customWidth="1"/>
    <col min="2328" max="2328" width="7.0703125" style="1349" customWidth="1"/>
    <col min="2329" max="2329" width="8.0703125" style="1349" customWidth="1"/>
    <col min="2330" max="2330" width="7.5703125" style="1349" customWidth="1"/>
    <col min="2331" max="2332" width="7.7109375" style="1349" customWidth="1"/>
    <col min="2333" max="2333" width="7.0703125" style="1349" customWidth="1"/>
    <col min="2334" max="2559" width="9.140625" style="1349"/>
    <col min="2560" max="2560" width="4.28515625" style="1349" customWidth="1"/>
    <col min="2561" max="2561" width="20.5703125" style="1349" customWidth="1"/>
    <col min="2562" max="2562" width="12.28515625" style="1349" customWidth="1"/>
    <col min="2563" max="2563" width="12.5703125" style="1349" customWidth="1"/>
    <col min="2564" max="2564" width="3.78515625" style="1349" customWidth="1"/>
    <col min="2565" max="2566" width="4.0703125" style="1349" customWidth="1"/>
    <col min="2567" max="2567" width="4" style="1349" customWidth="1"/>
    <col min="2568" max="2568" width="16.28515625" style="1349" customWidth="1"/>
    <col min="2569" max="2569" width="5.5703125" style="1349" customWidth="1"/>
    <col min="2570" max="2570" width="8.7109375" style="1349" customWidth="1"/>
    <col min="2571" max="2571" width="5.28515625" style="1349" customWidth="1"/>
    <col min="2572" max="2572" width="4.28515625" style="1349" customWidth="1"/>
    <col min="2573" max="2573" width="4.0703125" style="1349" customWidth="1"/>
    <col min="2574" max="2574" width="3.0703125" style="1349" customWidth="1"/>
    <col min="2575" max="2575" width="4.5703125" style="1349" customWidth="1"/>
    <col min="2576" max="2576" width="4.28515625" style="1349" customWidth="1"/>
    <col min="2577" max="2577" width="4" style="1349" customWidth="1"/>
    <col min="2578" max="2578" width="3" style="1349" customWidth="1"/>
    <col min="2579" max="2579" width="3.78515625" style="1349" customWidth="1"/>
    <col min="2580" max="2580" width="4.28515625" style="1349" customWidth="1"/>
    <col min="2581" max="2581" width="3.28515625" style="1349" customWidth="1"/>
    <col min="2582" max="2582" width="4.78515625" style="1349" customWidth="1"/>
    <col min="2583" max="2583" width="10.5703125" style="1349" customWidth="1"/>
    <col min="2584" max="2584" width="7.0703125" style="1349" customWidth="1"/>
    <col min="2585" max="2585" width="8.0703125" style="1349" customWidth="1"/>
    <col min="2586" max="2586" width="7.5703125" style="1349" customWidth="1"/>
    <col min="2587" max="2588" width="7.7109375" style="1349" customWidth="1"/>
    <col min="2589" max="2589" width="7.0703125" style="1349" customWidth="1"/>
    <col min="2590" max="2815" width="9.140625" style="1349"/>
    <col min="2816" max="2816" width="4.28515625" style="1349" customWidth="1"/>
    <col min="2817" max="2817" width="20.5703125" style="1349" customWidth="1"/>
    <col min="2818" max="2818" width="12.28515625" style="1349" customWidth="1"/>
    <col min="2819" max="2819" width="12.5703125" style="1349" customWidth="1"/>
    <col min="2820" max="2820" width="3.78515625" style="1349" customWidth="1"/>
    <col min="2821" max="2822" width="4.0703125" style="1349" customWidth="1"/>
    <col min="2823" max="2823" width="4" style="1349" customWidth="1"/>
    <col min="2824" max="2824" width="16.28515625" style="1349" customWidth="1"/>
    <col min="2825" max="2825" width="5.5703125" style="1349" customWidth="1"/>
    <col min="2826" max="2826" width="8.7109375" style="1349" customWidth="1"/>
    <col min="2827" max="2827" width="5.28515625" style="1349" customWidth="1"/>
    <col min="2828" max="2828" width="4.28515625" style="1349" customWidth="1"/>
    <col min="2829" max="2829" width="4.0703125" style="1349" customWidth="1"/>
    <col min="2830" max="2830" width="3.0703125" style="1349" customWidth="1"/>
    <col min="2831" max="2831" width="4.5703125" style="1349" customWidth="1"/>
    <col min="2832" max="2832" width="4.28515625" style="1349" customWidth="1"/>
    <col min="2833" max="2833" width="4" style="1349" customWidth="1"/>
    <col min="2834" max="2834" width="3" style="1349" customWidth="1"/>
    <col min="2835" max="2835" width="3.78515625" style="1349" customWidth="1"/>
    <col min="2836" max="2836" width="4.28515625" style="1349" customWidth="1"/>
    <col min="2837" max="2837" width="3.28515625" style="1349" customWidth="1"/>
    <col min="2838" max="2838" width="4.78515625" style="1349" customWidth="1"/>
    <col min="2839" max="2839" width="10.5703125" style="1349" customWidth="1"/>
    <col min="2840" max="2840" width="7.0703125" style="1349" customWidth="1"/>
    <col min="2841" max="2841" width="8.0703125" style="1349" customWidth="1"/>
    <col min="2842" max="2842" width="7.5703125" style="1349" customWidth="1"/>
    <col min="2843" max="2844" width="7.7109375" style="1349" customWidth="1"/>
    <col min="2845" max="2845" width="7.0703125" style="1349" customWidth="1"/>
    <col min="2846" max="3071" width="9.140625" style="1349"/>
    <col min="3072" max="3072" width="4.28515625" style="1349" customWidth="1"/>
    <col min="3073" max="3073" width="20.5703125" style="1349" customWidth="1"/>
    <col min="3074" max="3074" width="12.28515625" style="1349" customWidth="1"/>
    <col min="3075" max="3075" width="12.5703125" style="1349" customWidth="1"/>
    <col min="3076" max="3076" width="3.78515625" style="1349" customWidth="1"/>
    <col min="3077" max="3078" width="4.0703125" style="1349" customWidth="1"/>
    <col min="3079" max="3079" width="4" style="1349" customWidth="1"/>
    <col min="3080" max="3080" width="16.28515625" style="1349" customWidth="1"/>
    <col min="3081" max="3081" width="5.5703125" style="1349" customWidth="1"/>
    <col min="3082" max="3082" width="8.7109375" style="1349" customWidth="1"/>
    <col min="3083" max="3083" width="5.28515625" style="1349" customWidth="1"/>
    <col min="3084" max="3084" width="4.28515625" style="1349" customWidth="1"/>
    <col min="3085" max="3085" width="4.0703125" style="1349" customWidth="1"/>
    <col min="3086" max="3086" width="3.0703125" style="1349" customWidth="1"/>
    <col min="3087" max="3087" width="4.5703125" style="1349" customWidth="1"/>
    <col min="3088" max="3088" width="4.28515625" style="1349" customWidth="1"/>
    <col min="3089" max="3089" width="4" style="1349" customWidth="1"/>
    <col min="3090" max="3090" width="3" style="1349" customWidth="1"/>
    <col min="3091" max="3091" width="3.78515625" style="1349" customWidth="1"/>
    <col min="3092" max="3092" width="4.28515625" style="1349" customWidth="1"/>
    <col min="3093" max="3093" width="3.28515625" style="1349" customWidth="1"/>
    <col min="3094" max="3094" width="4.78515625" style="1349" customWidth="1"/>
    <col min="3095" max="3095" width="10.5703125" style="1349" customWidth="1"/>
    <col min="3096" max="3096" width="7.0703125" style="1349" customWidth="1"/>
    <col min="3097" max="3097" width="8.0703125" style="1349" customWidth="1"/>
    <col min="3098" max="3098" width="7.5703125" style="1349" customWidth="1"/>
    <col min="3099" max="3100" width="7.7109375" style="1349" customWidth="1"/>
    <col min="3101" max="3101" width="7.0703125" style="1349" customWidth="1"/>
    <col min="3102" max="3327" width="9.140625" style="1349"/>
    <col min="3328" max="3328" width="4.28515625" style="1349" customWidth="1"/>
    <col min="3329" max="3329" width="20.5703125" style="1349" customWidth="1"/>
    <col min="3330" max="3330" width="12.28515625" style="1349" customWidth="1"/>
    <col min="3331" max="3331" width="12.5703125" style="1349" customWidth="1"/>
    <col min="3332" max="3332" width="3.78515625" style="1349" customWidth="1"/>
    <col min="3333" max="3334" width="4.0703125" style="1349" customWidth="1"/>
    <col min="3335" max="3335" width="4" style="1349" customWidth="1"/>
    <col min="3336" max="3336" width="16.28515625" style="1349" customWidth="1"/>
    <col min="3337" max="3337" width="5.5703125" style="1349" customWidth="1"/>
    <col min="3338" max="3338" width="8.7109375" style="1349" customWidth="1"/>
    <col min="3339" max="3339" width="5.28515625" style="1349" customWidth="1"/>
    <col min="3340" max="3340" width="4.28515625" style="1349" customWidth="1"/>
    <col min="3341" max="3341" width="4.0703125" style="1349" customWidth="1"/>
    <col min="3342" max="3342" width="3.0703125" style="1349" customWidth="1"/>
    <col min="3343" max="3343" width="4.5703125" style="1349" customWidth="1"/>
    <col min="3344" max="3344" width="4.28515625" style="1349" customWidth="1"/>
    <col min="3345" max="3345" width="4" style="1349" customWidth="1"/>
    <col min="3346" max="3346" width="3" style="1349" customWidth="1"/>
    <col min="3347" max="3347" width="3.78515625" style="1349" customWidth="1"/>
    <col min="3348" max="3348" width="4.28515625" style="1349" customWidth="1"/>
    <col min="3349" max="3349" width="3.28515625" style="1349" customWidth="1"/>
    <col min="3350" max="3350" width="4.78515625" style="1349" customWidth="1"/>
    <col min="3351" max="3351" width="10.5703125" style="1349" customWidth="1"/>
    <col min="3352" max="3352" width="7.0703125" style="1349" customWidth="1"/>
    <col min="3353" max="3353" width="8.0703125" style="1349" customWidth="1"/>
    <col min="3354" max="3354" width="7.5703125" style="1349" customWidth="1"/>
    <col min="3355" max="3356" width="7.7109375" style="1349" customWidth="1"/>
    <col min="3357" max="3357" width="7.0703125" style="1349" customWidth="1"/>
    <col min="3358" max="3583" width="9.140625" style="1349"/>
    <col min="3584" max="3584" width="4.28515625" style="1349" customWidth="1"/>
    <col min="3585" max="3585" width="20.5703125" style="1349" customWidth="1"/>
    <col min="3586" max="3586" width="12.28515625" style="1349" customWidth="1"/>
    <col min="3587" max="3587" width="12.5703125" style="1349" customWidth="1"/>
    <col min="3588" max="3588" width="3.78515625" style="1349" customWidth="1"/>
    <col min="3589" max="3590" width="4.0703125" style="1349" customWidth="1"/>
    <col min="3591" max="3591" width="4" style="1349" customWidth="1"/>
    <col min="3592" max="3592" width="16.28515625" style="1349" customWidth="1"/>
    <col min="3593" max="3593" width="5.5703125" style="1349" customWidth="1"/>
    <col min="3594" max="3594" width="8.7109375" style="1349" customWidth="1"/>
    <col min="3595" max="3595" width="5.28515625" style="1349" customWidth="1"/>
    <col min="3596" max="3596" width="4.28515625" style="1349" customWidth="1"/>
    <col min="3597" max="3597" width="4.0703125" style="1349" customWidth="1"/>
    <col min="3598" max="3598" width="3.0703125" style="1349" customWidth="1"/>
    <col min="3599" max="3599" width="4.5703125" style="1349" customWidth="1"/>
    <col min="3600" max="3600" width="4.28515625" style="1349" customWidth="1"/>
    <col min="3601" max="3601" width="4" style="1349" customWidth="1"/>
    <col min="3602" max="3602" width="3" style="1349" customWidth="1"/>
    <col min="3603" max="3603" width="3.78515625" style="1349" customWidth="1"/>
    <col min="3604" max="3604" width="4.28515625" style="1349" customWidth="1"/>
    <col min="3605" max="3605" width="3.28515625" style="1349" customWidth="1"/>
    <col min="3606" max="3606" width="4.78515625" style="1349" customWidth="1"/>
    <col min="3607" max="3607" width="10.5703125" style="1349" customWidth="1"/>
    <col min="3608" max="3608" width="7.0703125" style="1349" customWidth="1"/>
    <col min="3609" max="3609" width="8.0703125" style="1349" customWidth="1"/>
    <col min="3610" max="3610" width="7.5703125" style="1349" customWidth="1"/>
    <col min="3611" max="3612" width="7.7109375" style="1349" customWidth="1"/>
    <col min="3613" max="3613" width="7.0703125" style="1349" customWidth="1"/>
    <col min="3614" max="3839" width="9.140625" style="1349"/>
    <col min="3840" max="3840" width="4.28515625" style="1349" customWidth="1"/>
    <col min="3841" max="3841" width="20.5703125" style="1349" customWidth="1"/>
    <col min="3842" max="3842" width="12.28515625" style="1349" customWidth="1"/>
    <col min="3843" max="3843" width="12.5703125" style="1349" customWidth="1"/>
    <col min="3844" max="3844" width="3.78515625" style="1349" customWidth="1"/>
    <col min="3845" max="3846" width="4.0703125" style="1349" customWidth="1"/>
    <col min="3847" max="3847" width="4" style="1349" customWidth="1"/>
    <col min="3848" max="3848" width="16.28515625" style="1349" customWidth="1"/>
    <col min="3849" max="3849" width="5.5703125" style="1349" customWidth="1"/>
    <col min="3850" max="3850" width="8.7109375" style="1349" customWidth="1"/>
    <col min="3851" max="3851" width="5.28515625" style="1349" customWidth="1"/>
    <col min="3852" max="3852" width="4.28515625" style="1349" customWidth="1"/>
    <col min="3853" max="3853" width="4.0703125" style="1349" customWidth="1"/>
    <col min="3854" max="3854" width="3.0703125" style="1349" customWidth="1"/>
    <col min="3855" max="3855" width="4.5703125" style="1349" customWidth="1"/>
    <col min="3856" max="3856" width="4.28515625" style="1349" customWidth="1"/>
    <col min="3857" max="3857" width="4" style="1349" customWidth="1"/>
    <col min="3858" max="3858" width="3" style="1349" customWidth="1"/>
    <col min="3859" max="3859" width="3.78515625" style="1349" customWidth="1"/>
    <col min="3860" max="3860" width="4.28515625" style="1349" customWidth="1"/>
    <col min="3861" max="3861" width="3.28515625" style="1349" customWidth="1"/>
    <col min="3862" max="3862" width="4.78515625" style="1349" customWidth="1"/>
    <col min="3863" max="3863" width="10.5703125" style="1349" customWidth="1"/>
    <col min="3864" max="3864" width="7.0703125" style="1349" customWidth="1"/>
    <col min="3865" max="3865" width="8.0703125" style="1349" customWidth="1"/>
    <col min="3866" max="3866" width="7.5703125" style="1349" customWidth="1"/>
    <col min="3867" max="3868" width="7.7109375" style="1349" customWidth="1"/>
    <col min="3869" max="3869" width="7.0703125" style="1349" customWidth="1"/>
    <col min="3870" max="4095" width="9.140625" style="1349"/>
    <col min="4096" max="4096" width="4.28515625" style="1349" customWidth="1"/>
    <col min="4097" max="4097" width="20.5703125" style="1349" customWidth="1"/>
    <col min="4098" max="4098" width="12.28515625" style="1349" customWidth="1"/>
    <col min="4099" max="4099" width="12.5703125" style="1349" customWidth="1"/>
    <col min="4100" max="4100" width="3.78515625" style="1349" customWidth="1"/>
    <col min="4101" max="4102" width="4.0703125" style="1349" customWidth="1"/>
    <col min="4103" max="4103" width="4" style="1349" customWidth="1"/>
    <col min="4104" max="4104" width="16.28515625" style="1349" customWidth="1"/>
    <col min="4105" max="4105" width="5.5703125" style="1349" customWidth="1"/>
    <col min="4106" max="4106" width="8.7109375" style="1349" customWidth="1"/>
    <col min="4107" max="4107" width="5.28515625" style="1349" customWidth="1"/>
    <col min="4108" max="4108" width="4.28515625" style="1349" customWidth="1"/>
    <col min="4109" max="4109" width="4.0703125" style="1349" customWidth="1"/>
    <col min="4110" max="4110" width="3.0703125" style="1349" customWidth="1"/>
    <col min="4111" max="4111" width="4.5703125" style="1349" customWidth="1"/>
    <col min="4112" max="4112" width="4.28515625" style="1349" customWidth="1"/>
    <col min="4113" max="4113" width="4" style="1349" customWidth="1"/>
    <col min="4114" max="4114" width="3" style="1349" customWidth="1"/>
    <col min="4115" max="4115" width="3.78515625" style="1349" customWidth="1"/>
    <col min="4116" max="4116" width="4.28515625" style="1349" customWidth="1"/>
    <col min="4117" max="4117" width="3.28515625" style="1349" customWidth="1"/>
    <col min="4118" max="4118" width="4.78515625" style="1349" customWidth="1"/>
    <col min="4119" max="4119" width="10.5703125" style="1349" customWidth="1"/>
    <col min="4120" max="4120" width="7.0703125" style="1349" customWidth="1"/>
    <col min="4121" max="4121" width="8.0703125" style="1349" customWidth="1"/>
    <col min="4122" max="4122" width="7.5703125" style="1349" customWidth="1"/>
    <col min="4123" max="4124" width="7.7109375" style="1349" customWidth="1"/>
    <col min="4125" max="4125" width="7.0703125" style="1349" customWidth="1"/>
    <col min="4126" max="4351" width="9.140625" style="1349"/>
    <col min="4352" max="4352" width="4.28515625" style="1349" customWidth="1"/>
    <col min="4353" max="4353" width="20.5703125" style="1349" customWidth="1"/>
    <col min="4354" max="4354" width="12.28515625" style="1349" customWidth="1"/>
    <col min="4355" max="4355" width="12.5703125" style="1349" customWidth="1"/>
    <col min="4356" max="4356" width="3.78515625" style="1349" customWidth="1"/>
    <col min="4357" max="4358" width="4.0703125" style="1349" customWidth="1"/>
    <col min="4359" max="4359" width="4" style="1349" customWidth="1"/>
    <col min="4360" max="4360" width="16.28515625" style="1349" customWidth="1"/>
    <col min="4361" max="4361" width="5.5703125" style="1349" customWidth="1"/>
    <col min="4362" max="4362" width="8.7109375" style="1349" customWidth="1"/>
    <col min="4363" max="4363" width="5.28515625" style="1349" customWidth="1"/>
    <col min="4364" max="4364" width="4.28515625" style="1349" customWidth="1"/>
    <col min="4365" max="4365" width="4.0703125" style="1349" customWidth="1"/>
    <col min="4366" max="4366" width="3.0703125" style="1349" customWidth="1"/>
    <col min="4367" max="4367" width="4.5703125" style="1349" customWidth="1"/>
    <col min="4368" max="4368" width="4.28515625" style="1349" customWidth="1"/>
    <col min="4369" max="4369" width="4" style="1349" customWidth="1"/>
    <col min="4370" max="4370" width="3" style="1349" customWidth="1"/>
    <col min="4371" max="4371" width="3.78515625" style="1349" customWidth="1"/>
    <col min="4372" max="4372" width="4.28515625" style="1349" customWidth="1"/>
    <col min="4373" max="4373" width="3.28515625" style="1349" customWidth="1"/>
    <col min="4374" max="4374" width="4.78515625" style="1349" customWidth="1"/>
    <col min="4375" max="4375" width="10.5703125" style="1349" customWidth="1"/>
    <col min="4376" max="4376" width="7.0703125" style="1349" customWidth="1"/>
    <col min="4377" max="4377" width="8.0703125" style="1349" customWidth="1"/>
    <col min="4378" max="4378" width="7.5703125" style="1349" customWidth="1"/>
    <col min="4379" max="4380" width="7.7109375" style="1349" customWidth="1"/>
    <col min="4381" max="4381" width="7.0703125" style="1349" customWidth="1"/>
    <col min="4382" max="4607" width="9.140625" style="1349"/>
    <col min="4608" max="4608" width="4.28515625" style="1349" customWidth="1"/>
    <col min="4609" max="4609" width="20.5703125" style="1349" customWidth="1"/>
    <col min="4610" max="4610" width="12.28515625" style="1349" customWidth="1"/>
    <col min="4611" max="4611" width="12.5703125" style="1349" customWidth="1"/>
    <col min="4612" max="4612" width="3.78515625" style="1349" customWidth="1"/>
    <col min="4613" max="4614" width="4.0703125" style="1349" customWidth="1"/>
    <col min="4615" max="4615" width="4" style="1349" customWidth="1"/>
    <col min="4616" max="4616" width="16.28515625" style="1349" customWidth="1"/>
    <col min="4617" max="4617" width="5.5703125" style="1349" customWidth="1"/>
    <col min="4618" max="4618" width="8.7109375" style="1349" customWidth="1"/>
    <col min="4619" max="4619" width="5.28515625" style="1349" customWidth="1"/>
    <col min="4620" max="4620" width="4.28515625" style="1349" customWidth="1"/>
    <col min="4621" max="4621" width="4.0703125" style="1349" customWidth="1"/>
    <col min="4622" max="4622" width="3.0703125" style="1349" customWidth="1"/>
    <col min="4623" max="4623" width="4.5703125" style="1349" customWidth="1"/>
    <col min="4624" max="4624" width="4.28515625" style="1349" customWidth="1"/>
    <col min="4625" max="4625" width="4" style="1349" customWidth="1"/>
    <col min="4626" max="4626" width="3" style="1349" customWidth="1"/>
    <col min="4627" max="4627" width="3.78515625" style="1349" customWidth="1"/>
    <col min="4628" max="4628" width="4.28515625" style="1349" customWidth="1"/>
    <col min="4629" max="4629" width="3.28515625" style="1349" customWidth="1"/>
    <col min="4630" max="4630" width="4.78515625" style="1349" customWidth="1"/>
    <col min="4631" max="4631" width="10.5703125" style="1349" customWidth="1"/>
    <col min="4632" max="4632" width="7.0703125" style="1349" customWidth="1"/>
    <col min="4633" max="4633" width="8.0703125" style="1349" customWidth="1"/>
    <col min="4634" max="4634" width="7.5703125" style="1349" customWidth="1"/>
    <col min="4635" max="4636" width="7.7109375" style="1349" customWidth="1"/>
    <col min="4637" max="4637" width="7.0703125" style="1349" customWidth="1"/>
    <col min="4638" max="4863" width="9.140625" style="1349"/>
    <col min="4864" max="4864" width="4.28515625" style="1349" customWidth="1"/>
    <col min="4865" max="4865" width="20.5703125" style="1349" customWidth="1"/>
    <col min="4866" max="4866" width="12.28515625" style="1349" customWidth="1"/>
    <col min="4867" max="4867" width="12.5703125" style="1349" customWidth="1"/>
    <col min="4868" max="4868" width="3.78515625" style="1349" customWidth="1"/>
    <col min="4869" max="4870" width="4.0703125" style="1349" customWidth="1"/>
    <col min="4871" max="4871" width="4" style="1349" customWidth="1"/>
    <col min="4872" max="4872" width="16.28515625" style="1349" customWidth="1"/>
    <col min="4873" max="4873" width="5.5703125" style="1349" customWidth="1"/>
    <col min="4874" max="4874" width="8.7109375" style="1349" customWidth="1"/>
    <col min="4875" max="4875" width="5.28515625" style="1349" customWidth="1"/>
    <col min="4876" max="4876" width="4.28515625" style="1349" customWidth="1"/>
    <col min="4877" max="4877" width="4.0703125" style="1349" customWidth="1"/>
    <col min="4878" max="4878" width="3.0703125" style="1349" customWidth="1"/>
    <col min="4879" max="4879" width="4.5703125" style="1349" customWidth="1"/>
    <col min="4880" max="4880" width="4.28515625" style="1349" customWidth="1"/>
    <col min="4881" max="4881" width="4" style="1349" customWidth="1"/>
    <col min="4882" max="4882" width="3" style="1349" customWidth="1"/>
    <col min="4883" max="4883" width="3.78515625" style="1349" customWidth="1"/>
    <col min="4884" max="4884" width="4.28515625" style="1349" customWidth="1"/>
    <col min="4885" max="4885" width="3.28515625" style="1349" customWidth="1"/>
    <col min="4886" max="4886" width="4.78515625" style="1349" customWidth="1"/>
    <col min="4887" max="4887" width="10.5703125" style="1349" customWidth="1"/>
    <col min="4888" max="4888" width="7.0703125" style="1349" customWidth="1"/>
    <col min="4889" max="4889" width="8.0703125" style="1349" customWidth="1"/>
    <col min="4890" max="4890" width="7.5703125" style="1349" customWidth="1"/>
    <col min="4891" max="4892" width="7.7109375" style="1349" customWidth="1"/>
    <col min="4893" max="4893" width="7.0703125" style="1349" customWidth="1"/>
    <col min="4894" max="5119" width="9.140625" style="1349"/>
    <col min="5120" max="5120" width="4.28515625" style="1349" customWidth="1"/>
    <col min="5121" max="5121" width="20.5703125" style="1349" customWidth="1"/>
    <col min="5122" max="5122" width="12.28515625" style="1349" customWidth="1"/>
    <col min="5123" max="5123" width="12.5703125" style="1349" customWidth="1"/>
    <col min="5124" max="5124" width="3.78515625" style="1349" customWidth="1"/>
    <col min="5125" max="5126" width="4.0703125" style="1349" customWidth="1"/>
    <col min="5127" max="5127" width="4" style="1349" customWidth="1"/>
    <col min="5128" max="5128" width="16.28515625" style="1349" customWidth="1"/>
    <col min="5129" max="5129" width="5.5703125" style="1349" customWidth="1"/>
    <col min="5130" max="5130" width="8.7109375" style="1349" customWidth="1"/>
    <col min="5131" max="5131" width="5.28515625" style="1349" customWidth="1"/>
    <col min="5132" max="5132" width="4.28515625" style="1349" customWidth="1"/>
    <col min="5133" max="5133" width="4.0703125" style="1349" customWidth="1"/>
    <col min="5134" max="5134" width="3.0703125" style="1349" customWidth="1"/>
    <col min="5135" max="5135" width="4.5703125" style="1349" customWidth="1"/>
    <col min="5136" max="5136" width="4.28515625" style="1349" customWidth="1"/>
    <col min="5137" max="5137" width="4" style="1349" customWidth="1"/>
    <col min="5138" max="5138" width="3" style="1349" customWidth="1"/>
    <col min="5139" max="5139" width="3.78515625" style="1349" customWidth="1"/>
    <col min="5140" max="5140" width="4.28515625" style="1349" customWidth="1"/>
    <col min="5141" max="5141" width="3.28515625" style="1349" customWidth="1"/>
    <col min="5142" max="5142" width="4.78515625" style="1349" customWidth="1"/>
    <col min="5143" max="5143" width="10.5703125" style="1349" customWidth="1"/>
    <col min="5144" max="5144" width="7.0703125" style="1349" customWidth="1"/>
    <col min="5145" max="5145" width="8.0703125" style="1349" customWidth="1"/>
    <col min="5146" max="5146" width="7.5703125" style="1349" customWidth="1"/>
    <col min="5147" max="5148" width="7.7109375" style="1349" customWidth="1"/>
    <col min="5149" max="5149" width="7.0703125" style="1349" customWidth="1"/>
    <col min="5150" max="5375" width="9.140625" style="1349"/>
    <col min="5376" max="5376" width="4.28515625" style="1349" customWidth="1"/>
    <col min="5377" max="5377" width="20.5703125" style="1349" customWidth="1"/>
    <col min="5378" max="5378" width="12.28515625" style="1349" customWidth="1"/>
    <col min="5379" max="5379" width="12.5703125" style="1349" customWidth="1"/>
    <col min="5380" max="5380" width="3.78515625" style="1349" customWidth="1"/>
    <col min="5381" max="5382" width="4.0703125" style="1349" customWidth="1"/>
    <col min="5383" max="5383" width="4" style="1349" customWidth="1"/>
    <col min="5384" max="5384" width="16.28515625" style="1349" customWidth="1"/>
    <col min="5385" max="5385" width="5.5703125" style="1349" customWidth="1"/>
    <col min="5386" max="5386" width="8.7109375" style="1349" customWidth="1"/>
    <col min="5387" max="5387" width="5.28515625" style="1349" customWidth="1"/>
    <col min="5388" max="5388" width="4.28515625" style="1349" customWidth="1"/>
    <col min="5389" max="5389" width="4.0703125" style="1349" customWidth="1"/>
    <col min="5390" max="5390" width="3.0703125" style="1349" customWidth="1"/>
    <col min="5391" max="5391" width="4.5703125" style="1349" customWidth="1"/>
    <col min="5392" max="5392" width="4.28515625" style="1349" customWidth="1"/>
    <col min="5393" max="5393" width="4" style="1349" customWidth="1"/>
    <col min="5394" max="5394" width="3" style="1349" customWidth="1"/>
    <col min="5395" max="5395" width="3.78515625" style="1349" customWidth="1"/>
    <col min="5396" max="5396" width="4.28515625" style="1349" customWidth="1"/>
    <col min="5397" max="5397" width="3.28515625" style="1349" customWidth="1"/>
    <col min="5398" max="5398" width="4.78515625" style="1349" customWidth="1"/>
    <col min="5399" max="5399" width="10.5703125" style="1349" customWidth="1"/>
    <col min="5400" max="5400" width="7.0703125" style="1349" customWidth="1"/>
    <col min="5401" max="5401" width="8.0703125" style="1349" customWidth="1"/>
    <col min="5402" max="5402" width="7.5703125" style="1349" customWidth="1"/>
    <col min="5403" max="5404" width="7.7109375" style="1349" customWidth="1"/>
    <col min="5405" max="5405" width="7.0703125" style="1349" customWidth="1"/>
    <col min="5406" max="5631" width="9.140625" style="1349"/>
    <col min="5632" max="5632" width="4.28515625" style="1349" customWidth="1"/>
    <col min="5633" max="5633" width="20.5703125" style="1349" customWidth="1"/>
    <col min="5634" max="5634" width="12.28515625" style="1349" customWidth="1"/>
    <col min="5635" max="5635" width="12.5703125" style="1349" customWidth="1"/>
    <col min="5636" max="5636" width="3.78515625" style="1349" customWidth="1"/>
    <col min="5637" max="5638" width="4.0703125" style="1349" customWidth="1"/>
    <col min="5639" max="5639" width="4" style="1349" customWidth="1"/>
    <col min="5640" max="5640" width="16.28515625" style="1349" customWidth="1"/>
    <col min="5641" max="5641" width="5.5703125" style="1349" customWidth="1"/>
    <col min="5642" max="5642" width="8.7109375" style="1349" customWidth="1"/>
    <col min="5643" max="5643" width="5.28515625" style="1349" customWidth="1"/>
    <col min="5644" max="5644" width="4.28515625" style="1349" customWidth="1"/>
    <col min="5645" max="5645" width="4.0703125" style="1349" customWidth="1"/>
    <col min="5646" max="5646" width="3.0703125" style="1349" customWidth="1"/>
    <col min="5647" max="5647" width="4.5703125" style="1349" customWidth="1"/>
    <col min="5648" max="5648" width="4.28515625" style="1349" customWidth="1"/>
    <col min="5649" max="5649" width="4" style="1349" customWidth="1"/>
    <col min="5650" max="5650" width="3" style="1349" customWidth="1"/>
    <col min="5651" max="5651" width="3.78515625" style="1349" customWidth="1"/>
    <col min="5652" max="5652" width="4.28515625" style="1349" customWidth="1"/>
    <col min="5653" max="5653" width="3.28515625" style="1349" customWidth="1"/>
    <col min="5654" max="5654" width="4.78515625" style="1349" customWidth="1"/>
    <col min="5655" max="5655" width="10.5703125" style="1349" customWidth="1"/>
    <col min="5656" max="5656" width="7.0703125" style="1349" customWidth="1"/>
    <col min="5657" max="5657" width="8.0703125" style="1349" customWidth="1"/>
    <col min="5658" max="5658" width="7.5703125" style="1349" customWidth="1"/>
    <col min="5659" max="5660" width="7.7109375" style="1349" customWidth="1"/>
    <col min="5661" max="5661" width="7.0703125" style="1349" customWidth="1"/>
    <col min="5662" max="5887" width="9.140625" style="1349"/>
    <col min="5888" max="5888" width="4.28515625" style="1349" customWidth="1"/>
    <col min="5889" max="5889" width="20.5703125" style="1349" customWidth="1"/>
    <col min="5890" max="5890" width="12.28515625" style="1349" customWidth="1"/>
    <col min="5891" max="5891" width="12.5703125" style="1349" customWidth="1"/>
    <col min="5892" max="5892" width="3.78515625" style="1349" customWidth="1"/>
    <col min="5893" max="5894" width="4.0703125" style="1349" customWidth="1"/>
    <col min="5895" max="5895" width="4" style="1349" customWidth="1"/>
    <col min="5896" max="5896" width="16.28515625" style="1349" customWidth="1"/>
    <col min="5897" max="5897" width="5.5703125" style="1349" customWidth="1"/>
    <col min="5898" max="5898" width="8.7109375" style="1349" customWidth="1"/>
    <col min="5899" max="5899" width="5.28515625" style="1349" customWidth="1"/>
    <col min="5900" max="5900" width="4.28515625" style="1349" customWidth="1"/>
    <col min="5901" max="5901" width="4.0703125" style="1349" customWidth="1"/>
    <col min="5902" max="5902" width="3.0703125" style="1349" customWidth="1"/>
    <col min="5903" max="5903" width="4.5703125" style="1349" customWidth="1"/>
    <col min="5904" max="5904" width="4.28515625" style="1349" customWidth="1"/>
    <col min="5905" max="5905" width="4" style="1349" customWidth="1"/>
    <col min="5906" max="5906" width="3" style="1349" customWidth="1"/>
    <col min="5907" max="5907" width="3.78515625" style="1349" customWidth="1"/>
    <col min="5908" max="5908" width="4.28515625" style="1349" customWidth="1"/>
    <col min="5909" max="5909" width="3.28515625" style="1349" customWidth="1"/>
    <col min="5910" max="5910" width="4.78515625" style="1349" customWidth="1"/>
    <col min="5911" max="5911" width="10.5703125" style="1349" customWidth="1"/>
    <col min="5912" max="5912" width="7.0703125" style="1349" customWidth="1"/>
    <col min="5913" max="5913" width="8.0703125" style="1349" customWidth="1"/>
    <col min="5914" max="5914" width="7.5703125" style="1349" customWidth="1"/>
    <col min="5915" max="5916" width="7.7109375" style="1349" customWidth="1"/>
    <col min="5917" max="5917" width="7.0703125" style="1349" customWidth="1"/>
    <col min="5918" max="6143" width="9.140625" style="1349"/>
    <col min="6144" max="6144" width="4.28515625" style="1349" customWidth="1"/>
    <col min="6145" max="6145" width="20.5703125" style="1349" customWidth="1"/>
    <col min="6146" max="6146" width="12.28515625" style="1349" customWidth="1"/>
    <col min="6147" max="6147" width="12.5703125" style="1349" customWidth="1"/>
    <col min="6148" max="6148" width="3.78515625" style="1349" customWidth="1"/>
    <col min="6149" max="6150" width="4.0703125" style="1349" customWidth="1"/>
    <col min="6151" max="6151" width="4" style="1349" customWidth="1"/>
    <col min="6152" max="6152" width="16.28515625" style="1349" customWidth="1"/>
    <col min="6153" max="6153" width="5.5703125" style="1349" customWidth="1"/>
    <col min="6154" max="6154" width="8.7109375" style="1349" customWidth="1"/>
    <col min="6155" max="6155" width="5.28515625" style="1349" customWidth="1"/>
    <col min="6156" max="6156" width="4.28515625" style="1349" customWidth="1"/>
    <col min="6157" max="6157" width="4.0703125" style="1349" customWidth="1"/>
    <col min="6158" max="6158" width="3.0703125" style="1349" customWidth="1"/>
    <col min="6159" max="6159" width="4.5703125" style="1349" customWidth="1"/>
    <col min="6160" max="6160" width="4.28515625" style="1349" customWidth="1"/>
    <col min="6161" max="6161" width="4" style="1349" customWidth="1"/>
    <col min="6162" max="6162" width="3" style="1349" customWidth="1"/>
    <col min="6163" max="6163" width="3.78515625" style="1349" customWidth="1"/>
    <col min="6164" max="6164" width="4.28515625" style="1349" customWidth="1"/>
    <col min="6165" max="6165" width="3.28515625" style="1349" customWidth="1"/>
    <col min="6166" max="6166" width="4.78515625" style="1349" customWidth="1"/>
    <col min="6167" max="6167" width="10.5703125" style="1349" customWidth="1"/>
    <col min="6168" max="6168" width="7.0703125" style="1349" customWidth="1"/>
    <col min="6169" max="6169" width="8.0703125" style="1349" customWidth="1"/>
    <col min="6170" max="6170" width="7.5703125" style="1349" customWidth="1"/>
    <col min="6171" max="6172" width="7.7109375" style="1349" customWidth="1"/>
    <col min="6173" max="6173" width="7.0703125" style="1349" customWidth="1"/>
    <col min="6174" max="6399" width="9.140625" style="1349"/>
    <col min="6400" max="6400" width="4.28515625" style="1349" customWidth="1"/>
    <col min="6401" max="6401" width="20.5703125" style="1349" customWidth="1"/>
    <col min="6402" max="6402" width="12.28515625" style="1349" customWidth="1"/>
    <col min="6403" max="6403" width="12.5703125" style="1349" customWidth="1"/>
    <col min="6404" max="6404" width="3.78515625" style="1349" customWidth="1"/>
    <col min="6405" max="6406" width="4.0703125" style="1349" customWidth="1"/>
    <col min="6407" max="6407" width="4" style="1349" customWidth="1"/>
    <col min="6408" max="6408" width="16.28515625" style="1349" customWidth="1"/>
    <col min="6409" max="6409" width="5.5703125" style="1349" customWidth="1"/>
    <col min="6410" max="6410" width="8.7109375" style="1349" customWidth="1"/>
    <col min="6411" max="6411" width="5.28515625" style="1349" customWidth="1"/>
    <col min="6412" max="6412" width="4.28515625" style="1349" customWidth="1"/>
    <col min="6413" max="6413" width="4.0703125" style="1349" customWidth="1"/>
    <col min="6414" max="6414" width="3.0703125" style="1349" customWidth="1"/>
    <col min="6415" max="6415" width="4.5703125" style="1349" customWidth="1"/>
    <col min="6416" max="6416" width="4.28515625" style="1349" customWidth="1"/>
    <col min="6417" max="6417" width="4" style="1349" customWidth="1"/>
    <col min="6418" max="6418" width="3" style="1349" customWidth="1"/>
    <col min="6419" max="6419" width="3.78515625" style="1349" customWidth="1"/>
    <col min="6420" max="6420" width="4.28515625" style="1349" customWidth="1"/>
    <col min="6421" max="6421" width="3.28515625" style="1349" customWidth="1"/>
    <col min="6422" max="6422" width="4.78515625" style="1349" customWidth="1"/>
    <col min="6423" max="6423" width="10.5703125" style="1349" customWidth="1"/>
    <col min="6424" max="6424" width="7.0703125" style="1349" customWidth="1"/>
    <col min="6425" max="6425" width="8.0703125" style="1349" customWidth="1"/>
    <col min="6426" max="6426" width="7.5703125" style="1349" customWidth="1"/>
    <col min="6427" max="6428" width="7.7109375" style="1349" customWidth="1"/>
    <col min="6429" max="6429" width="7.0703125" style="1349" customWidth="1"/>
    <col min="6430" max="6655" width="9.140625" style="1349"/>
    <col min="6656" max="6656" width="4.28515625" style="1349" customWidth="1"/>
    <col min="6657" max="6657" width="20.5703125" style="1349" customWidth="1"/>
    <col min="6658" max="6658" width="12.28515625" style="1349" customWidth="1"/>
    <col min="6659" max="6659" width="12.5703125" style="1349" customWidth="1"/>
    <col min="6660" max="6660" width="3.78515625" style="1349" customWidth="1"/>
    <col min="6661" max="6662" width="4.0703125" style="1349" customWidth="1"/>
    <col min="6663" max="6663" width="4" style="1349" customWidth="1"/>
    <col min="6664" max="6664" width="16.28515625" style="1349" customWidth="1"/>
    <col min="6665" max="6665" width="5.5703125" style="1349" customWidth="1"/>
    <col min="6666" max="6666" width="8.7109375" style="1349" customWidth="1"/>
    <col min="6667" max="6667" width="5.28515625" style="1349" customWidth="1"/>
    <col min="6668" max="6668" width="4.28515625" style="1349" customWidth="1"/>
    <col min="6669" max="6669" width="4.0703125" style="1349" customWidth="1"/>
    <col min="6670" max="6670" width="3.0703125" style="1349" customWidth="1"/>
    <col min="6671" max="6671" width="4.5703125" style="1349" customWidth="1"/>
    <col min="6672" max="6672" width="4.28515625" style="1349" customWidth="1"/>
    <col min="6673" max="6673" width="4" style="1349" customWidth="1"/>
    <col min="6674" max="6674" width="3" style="1349" customWidth="1"/>
    <col min="6675" max="6675" width="3.78515625" style="1349" customWidth="1"/>
    <col min="6676" max="6676" width="4.28515625" style="1349" customWidth="1"/>
    <col min="6677" max="6677" width="3.28515625" style="1349" customWidth="1"/>
    <col min="6678" max="6678" width="4.78515625" style="1349" customWidth="1"/>
    <col min="6679" max="6679" width="10.5703125" style="1349" customWidth="1"/>
    <col min="6680" max="6680" width="7.0703125" style="1349" customWidth="1"/>
    <col min="6681" max="6681" width="8.0703125" style="1349" customWidth="1"/>
    <col min="6682" max="6682" width="7.5703125" style="1349" customWidth="1"/>
    <col min="6683" max="6684" width="7.7109375" style="1349" customWidth="1"/>
    <col min="6685" max="6685" width="7.0703125" style="1349" customWidth="1"/>
    <col min="6686" max="6911" width="9.140625" style="1349"/>
    <col min="6912" max="6912" width="4.28515625" style="1349" customWidth="1"/>
    <col min="6913" max="6913" width="20.5703125" style="1349" customWidth="1"/>
    <col min="6914" max="6914" width="12.28515625" style="1349" customWidth="1"/>
    <col min="6915" max="6915" width="12.5703125" style="1349" customWidth="1"/>
    <col min="6916" max="6916" width="3.78515625" style="1349" customWidth="1"/>
    <col min="6917" max="6918" width="4.0703125" style="1349" customWidth="1"/>
    <col min="6919" max="6919" width="4" style="1349" customWidth="1"/>
    <col min="6920" max="6920" width="16.28515625" style="1349" customWidth="1"/>
    <col min="6921" max="6921" width="5.5703125" style="1349" customWidth="1"/>
    <col min="6922" max="6922" width="8.7109375" style="1349" customWidth="1"/>
    <col min="6923" max="6923" width="5.28515625" style="1349" customWidth="1"/>
    <col min="6924" max="6924" width="4.28515625" style="1349" customWidth="1"/>
    <col min="6925" max="6925" width="4.0703125" style="1349" customWidth="1"/>
    <col min="6926" max="6926" width="3.0703125" style="1349" customWidth="1"/>
    <col min="6927" max="6927" width="4.5703125" style="1349" customWidth="1"/>
    <col min="6928" max="6928" width="4.28515625" style="1349" customWidth="1"/>
    <col min="6929" max="6929" width="4" style="1349" customWidth="1"/>
    <col min="6930" max="6930" width="3" style="1349" customWidth="1"/>
    <col min="6931" max="6931" width="3.78515625" style="1349" customWidth="1"/>
    <col min="6932" max="6932" width="4.28515625" style="1349" customWidth="1"/>
    <col min="6933" max="6933" width="3.28515625" style="1349" customWidth="1"/>
    <col min="6934" max="6934" width="4.78515625" style="1349" customWidth="1"/>
    <col min="6935" max="6935" width="10.5703125" style="1349" customWidth="1"/>
    <col min="6936" max="6936" width="7.0703125" style="1349" customWidth="1"/>
    <col min="6937" max="6937" width="8.0703125" style="1349" customWidth="1"/>
    <col min="6938" max="6938" width="7.5703125" style="1349" customWidth="1"/>
    <col min="6939" max="6940" width="7.7109375" style="1349" customWidth="1"/>
    <col min="6941" max="6941" width="7.0703125" style="1349" customWidth="1"/>
    <col min="6942" max="7167" width="9.140625" style="1349"/>
    <col min="7168" max="7168" width="4.28515625" style="1349" customWidth="1"/>
    <col min="7169" max="7169" width="20.5703125" style="1349" customWidth="1"/>
    <col min="7170" max="7170" width="12.28515625" style="1349" customWidth="1"/>
    <col min="7171" max="7171" width="12.5703125" style="1349" customWidth="1"/>
    <col min="7172" max="7172" width="3.78515625" style="1349" customWidth="1"/>
    <col min="7173" max="7174" width="4.0703125" style="1349" customWidth="1"/>
    <col min="7175" max="7175" width="4" style="1349" customWidth="1"/>
    <col min="7176" max="7176" width="16.28515625" style="1349" customWidth="1"/>
    <col min="7177" max="7177" width="5.5703125" style="1349" customWidth="1"/>
    <col min="7178" max="7178" width="8.7109375" style="1349" customWidth="1"/>
    <col min="7179" max="7179" width="5.28515625" style="1349" customWidth="1"/>
    <col min="7180" max="7180" width="4.28515625" style="1349" customWidth="1"/>
    <col min="7181" max="7181" width="4.0703125" style="1349" customWidth="1"/>
    <col min="7182" max="7182" width="3.0703125" style="1349" customWidth="1"/>
    <col min="7183" max="7183" width="4.5703125" style="1349" customWidth="1"/>
    <col min="7184" max="7184" width="4.28515625" style="1349" customWidth="1"/>
    <col min="7185" max="7185" width="4" style="1349" customWidth="1"/>
    <col min="7186" max="7186" width="3" style="1349" customWidth="1"/>
    <col min="7187" max="7187" width="3.78515625" style="1349" customWidth="1"/>
    <col min="7188" max="7188" width="4.28515625" style="1349" customWidth="1"/>
    <col min="7189" max="7189" width="3.28515625" style="1349" customWidth="1"/>
    <col min="7190" max="7190" width="4.78515625" style="1349" customWidth="1"/>
    <col min="7191" max="7191" width="10.5703125" style="1349" customWidth="1"/>
    <col min="7192" max="7192" width="7.0703125" style="1349" customWidth="1"/>
    <col min="7193" max="7193" width="8.0703125" style="1349" customWidth="1"/>
    <col min="7194" max="7194" width="7.5703125" style="1349" customWidth="1"/>
    <col min="7195" max="7196" width="7.7109375" style="1349" customWidth="1"/>
    <col min="7197" max="7197" width="7.0703125" style="1349" customWidth="1"/>
    <col min="7198" max="7423" width="9.140625" style="1349"/>
    <col min="7424" max="7424" width="4.28515625" style="1349" customWidth="1"/>
    <col min="7425" max="7425" width="20.5703125" style="1349" customWidth="1"/>
    <col min="7426" max="7426" width="12.28515625" style="1349" customWidth="1"/>
    <col min="7427" max="7427" width="12.5703125" style="1349" customWidth="1"/>
    <col min="7428" max="7428" width="3.78515625" style="1349" customWidth="1"/>
    <col min="7429" max="7430" width="4.0703125" style="1349" customWidth="1"/>
    <col min="7431" max="7431" width="4" style="1349" customWidth="1"/>
    <col min="7432" max="7432" width="16.28515625" style="1349" customWidth="1"/>
    <col min="7433" max="7433" width="5.5703125" style="1349" customWidth="1"/>
    <col min="7434" max="7434" width="8.7109375" style="1349" customWidth="1"/>
    <col min="7435" max="7435" width="5.28515625" style="1349" customWidth="1"/>
    <col min="7436" max="7436" width="4.28515625" style="1349" customWidth="1"/>
    <col min="7437" max="7437" width="4.0703125" style="1349" customWidth="1"/>
    <col min="7438" max="7438" width="3.0703125" style="1349" customWidth="1"/>
    <col min="7439" max="7439" width="4.5703125" style="1349" customWidth="1"/>
    <col min="7440" max="7440" width="4.28515625" style="1349" customWidth="1"/>
    <col min="7441" max="7441" width="4" style="1349" customWidth="1"/>
    <col min="7442" max="7442" width="3" style="1349" customWidth="1"/>
    <col min="7443" max="7443" width="3.78515625" style="1349" customWidth="1"/>
    <col min="7444" max="7444" width="4.28515625" style="1349" customWidth="1"/>
    <col min="7445" max="7445" width="3.28515625" style="1349" customWidth="1"/>
    <col min="7446" max="7446" width="4.78515625" style="1349" customWidth="1"/>
    <col min="7447" max="7447" width="10.5703125" style="1349" customWidth="1"/>
    <col min="7448" max="7448" width="7.0703125" style="1349" customWidth="1"/>
    <col min="7449" max="7449" width="8.0703125" style="1349" customWidth="1"/>
    <col min="7450" max="7450" width="7.5703125" style="1349" customWidth="1"/>
    <col min="7451" max="7452" width="7.7109375" style="1349" customWidth="1"/>
    <col min="7453" max="7453" width="7.0703125" style="1349" customWidth="1"/>
    <col min="7454" max="7679" width="9.140625" style="1349"/>
    <col min="7680" max="7680" width="4.28515625" style="1349" customWidth="1"/>
    <col min="7681" max="7681" width="20.5703125" style="1349" customWidth="1"/>
    <col min="7682" max="7682" width="12.28515625" style="1349" customWidth="1"/>
    <col min="7683" max="7683" width="12.5703125" style="1349" customWidth="1"/>
    <col min="7684" max="7684" width="3.78515625" style="1349" customWidth="1"/>
    <col min="7685" max="7686" width="4.0703125" style="1349" customWidth="1"/>
    <col min="7687" max="7687" width="4" style="1349" customWidth="1"/>
    <col min="7688" max="7688" width="16.28515625" style="1349" customWidth="1"/>
    <col min="7689" max="7689" width="5.5703125" style="1349" customWidth="1"/>
    <col min="7690" max="7690" width="8.7109375" style="1349" customWidth="1"/>
    <col min="7691" max="7691" width="5.28515625" style="1349" customWidth="1"/>
    <col min="7692" max="7692" width="4.28515625" style="1349" customWidth="1"/>
    <col min="7693" max="7693" width="4.0703125" style="1349" customWidth="1"/>
    <col min="7694" max="7694" width="3.0703125" style="1349" customWidth="1"/>
    <col min="7695" max="7695" width="4.5703125" style="1349" customWidth="1"/>
    <col min="7696" max="7696" width="4.28515625" style="1349" customWidth="1"/>
    <col min="7697" max="7697" width="4" style="1349" customWidth="1"/>
    <col min="7698" max="7698" width="3" style="1349" customWidth="1"/>
    <col min="7699" max="7699" width="3.78515625" style="1349" customWidth="1"/>
    <col min="7700" max="7700" width="4.28515625" style="1349" customWidth="1"/>
    <col min="7701" max="7701" width="3.28515625" style="1349" customWidth="1"/>
    <col min="7702" max="7702" width="4.78515625" style="1349" customWidth="1"/>
    <col min="7703" max="7703" width="10.5703125" style="1349" customWidth="1"/>
    <col min="7704" max="7704" width="7.0703125" style="1349" customWidth="1"/>
    <col min="7705" max="7705" width="8.0703125" style="1349" customWidth="1"/>
    <col min="7706" max="7706" width="7.5703125" style="1349" customWidth="1"/>
    <col min="7707" max="7708" width="7.7109375" style="1349" customWidth="1"/>
    <col min="7709" max="7709" width="7.0703125" style="1349" customWidth="1"/>
    <col min="7710" max="7935" width="9.140625" style="1349"/>
    <col min="7936" max="7936" width="4.28515625" style="1349" customWidth="1"/>
    <col min="7937" max="7937" width="20.5703125" style="1349" customWidth="1"/>
    <col min="7938" max="7938" width="12.28515625" style="1349" customWidth="1"/>
    <col min="7939" max="7939" width="12.5703125" style="1349" customWidth="1"/>
    <col min="7940" max="7940" width="3.78515625" style="1349" customWidth="1"/>
    <col min="7941" max="7942" width="4.0703125" style="1349" customWidth="1"/>
    <col min="7943" max="7943" width="4" style="1349" customWidth="1"/>
    <col min="7944" max="7944" width="16.28515625" style="1349" customWidth="1"/>
    <col min="7945" max="7945" width="5.5703125" style="1349" customWidth="1"/>
    <col min="7946" max="7946" width="8.7109375" style="1349" customWidth="1"/>
    <col min="7947" max="7947" width="5.28515625" style="1349" customWidth="1"/>
    <col min="7948" max="7948" width="4.28515625" style="1349" customWidth="1"/>
    <col min="7949" max="7949" width="4.0703125" style="1349" customWidth="1"/>
    <col min="7950" max="7950" width="3.0703125" style="1349" customWidth="1"/>
    <col min="7951" max="7951" width="4.5703125" style="1349" customWidth="1"/>
    <col min="7952" max="7952" width="4.28515625" style="1349" customWidth="1"/>
    <col min="7953" max="7953" width="4" style="1349" customWidth="1"/>
    <col min="7954" max="7954" width="3" style="1349" customWidth="1"/>
    <col min="7955" max="7955" width="3.78515625" style="1349" customWidth="1"/>
    <col min="7956" max="7956" width="4.28515625" style="1349" customWidth="1"/>
    <col min="7957" max="7957" width="3.28515625" style="1349" customWidth="1"/>
    <col min="7958" max="7958" width="4.78515625" style="1349" customWidth="1"/>
    <col min="7959" max="7959" width="10.5703125" style="1349" customWidth="1"/>
    <col min="7960" max="7960" width="7.0703125" style="1349" customWidth="1"/>
    <col min="7961" max="7961" width="8.0703125" style="1349" customWidth="1"/>
    <col min="7962" max="7962" width="7.5703125" style="1349" customWidth="1"/>
    <col min="7963" max="7964" width="7.7109375" style="1349" customWidth="1"/>
    <col min="7965" max="7965" width="7.0703125" style="1349" customWidth="1"/>
    <col min="7966" max="8191" width="9.140625" style="1349"/>
    <col min="8192" max="8192" width="4.28515625" style="1349" customWidth="1"/>
    <col min="8193" max="8193" width="20.5703125" style="1349" customWidth="1"/>
    <col min="8194" max="8194" width="12.28515625" style="1349" customWidth="1"/>
    <col min="8195" max="8195" width="12.5703125" style="1349" customWidth="1"/>
    <col min="8196" max="8196" width="3.78515625" style="1349" customWidth="1"/>
    <col min="8197" max="8198" width="4.0703125" style="1349" customWidth="1"/>
    <col min="8199" max="8199" width="4" style="1349" customWidth="1"/>
    <col min="8200" max="8200" width="16.28515625" style="1349" customWidth="1"/>
    <col min="8201" max="8201" width="5.5703125" style="1349" customWidth="1"/>
    <col min="8202" max="8202" width="8.7109375" style="1349" customWidth="1"/>
    <col min="8203" max="8203" width="5.28515625" style="1349" customWidth="1"/>
    <col min="8204" max="8204" width="4.28515625" style="1349" customWidth="1"/>
    <col min="8205" max="8205" width="4.0703125" style="1349" customWidth="1"/>
    <col min="8206" max="8206" width="3.0703125" style="1349" customWidth="1"/>
    <col min="8207" max="8207" width="4.5703125" style="1349" customWidth="1"/>
    <col min="8208" max="8208" width="4.28515625" style="1349" customWidth="1"/>
    <col min="8209" max="8209" width="4" style="1349" customWidth="1"/>
    <col min="8210" max="8210" width="3" style="1349" customWidth="1"/>
    <col min="8211" max="8211" width="3.78515625" style="1349" customWidth="1"/>
    <col min="8212" max="8212" width="4.28515625" style="1349" customWidth="1"/>
    <col min="8213" max="8213" width="3.28515625" style="1349" customWidth="1"/>
    <col min="8214" max="8214" width="4.78515625" style="1349" customWidth="1"/>
    <col min="8215" max="8215" width="10.5703125" style="1349" customWidth="1"/>
    <col min="8216" max="8216" width="7.0703125" style="1349" customWidth="1"/>
    <col min="8217" max="8217" width="8.0703125" style="1349" customWidth="1"/>
    <col min="8218" max="8218" width="7.5703125" style="1349" customWidth="1"/>
    <col min="8219" max="8220" width="7.7109375" style="1349" customWidth="1"/>
    <col min="8221" max="8221" width="7.0703125" style="1349" customWidth="1"/>
    <col min="8222" max="8447" width="9.140625" style="1349"/>
    <col min="8448" max="8448" width="4.28515625" style="1349" customWidth="1"/>
    <col min="8449" max="8449" width="20.5703125" style="1349" customWidth="1"/>
    <col min="8450" max="8450" width="12.28515625" style="1349" customWidth="1"/>
    <col min="8451" max="8451" width="12.5703125" style="1349" customWidth="1"/>
    <col min="8452" max="8452" width="3.78515625" style="1349" customWidth="1"/>
    <col min="8453" max="8454" width="4.0703125" style="1349" customWidth="1"/>
    <col min="8455" max="8455" width="4" style="1349" customWidth="1"/>
    <col min="8456" max="8456" width="16.28515625" style="1349" customWidth="1"/>
    <col min="8457" max="8457" width="5.5703125" style="1349" customWidth="1"/>
    <col min="8458" max="8458" width="8.7109375" style="1349" customWidth="1"/>
    <col min="8459" max="8459" width="5.28515625" style="1349" customWidth="1"/>
    <col min="8460" max="8460" width="4.28515625" style="1349" customWidth="1"/>
    <col min="8461" max="8461" width="4.0703125" style="1349" customWidth="1"/>
    <col min="8462" max="8462" width="3.0703125" style="1349" customWidth="1"/>
    <col min="8463" max="8463" width="4.5703125" style="1349" customWidth="1"/>
    <col min="8464" max="8464" width="4.28515625" style="1349" customWidth="1"/>
    <col min="8465" max="8465" width="4" style="1349" customWidth="1"/>
    <col min="8466" max="8466" width="3" style="1349" customWidth="1"/>
    <col min="8467" max="8467" width="3.78515625" style="1349" customWidth="1"/>
    <col min="8468" max="8468" width="4.28515625" style="1349" customWidth="1"/>
    <col min="8469" max="8469" width="3.28515625" style="1349" customWidth="1"/>
    <col min="8470" max="8470" width="4.78515625" style="1349" customWidth="1"/>
    <col min="8471" max="8471" width="10.5703125" style="1349" customWidth="1"/>
    <col min="8472" max="8472" width="7.0703125" style="1349" customWidth="1"/>
    <col min="8473" max="8473" width="8.0703125" style="1349" customWidth="1"/>
    <col min="8474" max="8474" width="7.5703125" style="1349" customWidth="1"/>
    <col min="8475" max="8476" width="7.7109375" style="1349" customWidth="1"/>
    <col min="8477" max="8477" width="7.0703125" style="1349" customWidth="1"/>
    <col min="8478" max="8703" width="9.140625" style="1349"/>
    <col min="8704" max="8704" width="4.28515625" style="1349" customWidth="1"/>
    <col min="8705" max="8705" width="20.5703125" style="1349" customWidth="1"/>
    <col min="8706" max="8706" width="12.28515625" style="1349" customWidth="1"/>
    <col min="8707" max="8707" width="12.5703125" style="1349" customWidth="1"/>
    <col min="8708" max="8708" width="3.78515625" style="1349" customWidth="1"/>
    <col min="8709" max="8710" width="4.0703125" style="1349" customWidth="1"/>
    <col min="8711" max="8711" width="4" style="1349" customWidth="1"/>
    <col min="8712" max="8712" width="16.28515625" style="1349" customWidth="1"/>
    <col min="8713" max="8713" width="5.5703125" style="1349" customWidth="1"/>
    <col min="8714" max="8714" width="8.7109375" style="1349" customWidth="1"/>
    <col min="8715" max="8715" width="5.28515625" style="1349" customWidth="1"/>
    <col min="8716" max="8716" width="4.28515625" style="1349" customWidth="1"/>
    <col min="8717" max="8717" width="4.0703125" style="1349" customWidth="1"/>
    <col min="8718" max="8718" width="3.0703125" style="1349" customWidth="1"/>
    <col min="8719" max="8719" width="4.5703125" style="1349" customWidth="1"/>
    <col min="8720" max="8720" width="4.28515625" style="1349" customWidth="1"/>
    <col min="8721" max="8721" width="4" style="1349" customWidth="1"/>
    <col min="8722" max="8722" width="3" style="1349" customWidth="1"/>
    <col min="8723" max="8723" width="3.78515625" style="1349" customWidth="1"/>
    <col min="8724" max="8724" width="4.28515625" style="1349" customWidth="1"/>
    <col min="8725" max="8725" width="3.28515625" style="1349" customWidth="1"/>
    <col min="8726" max="8726" width="4.78515625" style="1349" customWidth="1"/>
    <col min="8727" max="8727" width="10.5703125" style="1349" customWidth="1"/>
    <col min="8728" max="8728" width="7.0703125" style="1349" customWidth="1"/>
    <col min="8729" max="8729" width="8.0703125" style="1349" customWidth="1"/>
    <col min="8730" max="8730" width="7.5703125" style="1349" customWidth="1"/>
    <col min="8731" max="8732" width="7.7109375" style="1349" customWidth="1"/>
    <col min="8733" max="8733" width="7.0703125" style="1349" customWidth="1"/>
    <col min="8734" max="8959" width="9.140625" style="1349"/>
    <col min="8960" max="8960" width="4.28515625" style="1349" customWidth="1"/>
    <col min="8961" max="8961" width="20.5703125" style="1349" customWidth="1"/>
    <col min="8962" max="8962" width="12.28515625" style="1349" customWidth="1"/>
    <col min="8963" max="8963" width="12.5703125" style="1349" customWidth="1"/>
    <col min="8964" max="8964" width="3.78515625" style="1349" customWidth="1"/>
    <col min="8965" max="8966" width="4.0703125" style="1349" customWidth="1"/>
    <col min="8967" max="8967" width="4" style="1349" customWidth="1"/>
    <col min="8968" max="8968" width="16.28515625" style="1349" customWidth="1"/>
    <col min="8969" max="8969" width="5.5703125" style="1349" customWidth="1"/>
    <col min="8970" max="8970" width="8.7109375" style="1349" customWidth="1"/>
    <col min="8971" max="8971" width="5.28515625" style="1349" customWidth="1"/>
    <col min="8972" max="8972" width="4.28515625" style="1349" customWidth="1"/>
    <col min="8973" max="8973" width="4.0703125" style="1349" customWidth="1"/>
    <col min="8974" max="8974" width="3.0703125" style="1349" customWidth="1"/>
    <col min="8975" max="8975" width="4.5703125" style="1349" customWidth="1"/>
    <col min="8976" max="8976" width="4.28515625" style="1349" customWidth="1"/>
    <col min="8977" max="8977" width="4" style="1349" customWidth="1"/>
    <col min="8978" max="8978" width="3" style="1349" customWidth="1"/>
    <col min="8979" max="8979" width="3.78515625" style="1349" customWidth="1"/>
    <col min="8980" max="8980" width="4.28515625" style="1349" customWidth="1"/>
    <col min="8981" max="8981" width="3.28515625" style="1349" customWidth="1"/>
    <col min="8982" max="8982" width="4.78515625" style="1349" customWidth="1"/>
    <col min="8983" max="8983" width="10.5703125" style="1349" customWidth="1"/>
    <col min="8984" max="8984" width="7.0703125" style="1349" customWidth="1"/>
    <col min="8985" max="8985" width="8.0703125" style="1349" customWidth="1"/>
    <col min="8986" max="8986" width="7.5703125" style="1349" customWidth="1"/>
    <col min="8987" max="8988" width="7.7109375" style="1349" customWidth="1"/>
    <col min="8989" max="8989" width="7.0703125" style="1349" customWidth="1"/>
    <col min="8990" max="9215" width="9.140625" style="1349"/>
    <col min="9216" max="9216" width="4.28515625" style="1349" customWidth="1"/>
    <col min="9217" max="9217" width="20.5703125" style="1349" customWidth="1"/>
    <col min="9218" max="9218" width="12.28515625" style="1349" customWidth="1"/>
    <col min="9219" max="9219" width="12.5703125" style="1349" customWidth="1"/>
    <col min="9220" max="9220" width="3.78515625" style="1349" customWidth="1"/>
    <col min="9221" max="9222" width="4.0703125" style="1349" customWidth="1"/>
    <col min="9223" max="9223" width="4" style="1349" customWidth="1"/>
    <col min="9224" max="9224" width="16.28515625" style="1349" customWidth="1"/>
    <col min="9225" max="9225" width="5.5703125" style="1349" customWidth="1"/>
    <col min="9226" max="9226" width="8.7109375" style="1349" customWidth="1"/>
    <col min="9227" max="9227" width="5.28515625" style="1349" customWidth="1"/>
    <col min="9228" max="9228" width="4.28515625" style="1349" customWidth="1"/>
    <col min="9229" max="9229" width="4.0703125" style="1349" customWidth="1"/>
    <col min="9230" max="9230" width="3.0703125" style="1349" customWidth="1"/>
    <col min="9231" max="9231" width="4.5703125" style="1349" customWidth="1"/>
    <col min="9232" max="9232" width="4.28515625" style="1349" customWidth="1"/>
    <col min="9233" max="9233" width="4" style="1349" customWidth="1"/>
    <col min="9234" max="9234" width="3" style="1349" customWidth="1"/>
    <col min="9235" max="9235" width="3.78515625" style="1349" customWidth="1"/>
    <col min="9236" max="9236" width="4.28515625" style="1349" customWidth="1"/>
    <col min="9237" max="9237" width="3.28515625" style="1349" customWidth="1"/>
    <col min="9238" max="9238" width="4.78515625" style="1349" customWidth="1"/>
    <col min="9239" max="9239" width="10.5703125" style="1349" customWidth="1"/>
    <col min="9240" max="9240" width="7.0703125" style="1349" customWidth="1"/>
    <col min="9241" max="9241" width="8.0703125" style="1349" customWidth="1"/>
    <col min="9242" max="9242" width="7.5703125" style="1349" customWidth="1"/>
    <col min="9243" max="9244" width="7.7109375" style="1349" customWidth="1"/>
    <col min="9245" max="9245" width="7.0703125" style="1349" customWidth="1"/>
    <col min="9246" max="9471" width="9.140625" style="1349"/>
    <col min="9472" max="9472" width="4.28515625" style="1349" customWidth="1"/>
    <col min="9473" max="9473" width="20.5703125" style="1349" customWidth="1"/>
    <col min="9474" max="9474" width="12.28515625" style="1349" customWidth="1"/>
    <col min="9475" max="9475" width="12.5703125" style="1349" customWidth="1"/>
    <col min="9476" max="9476" width="3.78515625" style="1349" customWidth="1"/>
    <col min="9477" max="9478" width="4.0703125" style="1349" customWidth="1"/>
    <col min="9479" max="9479" width="4" style="1349" customWidth="1"/>
    <col min="9480" max="9480" width="16.28515625" style="1349" customWidth="1"/>
    <col min="9481" max="9481" width="5.5703125" style="1349" customWidth="1"/>
    <col min="9482" max="9482" width="8.7109375" style="1349" customWidth="1"/>
    <col min="9483" max="9483" width="5.28515625" style="1349" customWidth="1"/>
    <col min="9484" max="9484" width="4.28515625" style="1349" customWidth="1"/>
    <col min="9485" max="9485" width="4.0703125" style="1349" customWidth="1"/>
    <col min="9486" max="9486" width="3.0703125" style="1349" customWidth="1"/>
    <col min="9487" max="9487" width="4.5703125" style="1349" customWidth="1"/>
    <col min="9488" max="9488" width="4.28515625" style="1349" customWidth="1"/>
    <col min="9489" max="9489" width="4" style="1349" customWidth="1"/>
    <col min="9490" max="9490" width="3" style="1349" customWidth="1"/>
    <col min="9491" max="9491" width="3.78515625" style="1349" customWidth="1"/>
    <col min="9492" max="9492" width="4.28515625" style="1349" customWidth="1"/>
    <col min="9493" max="9493" width="3.28515625" style="1349" customWidth="1"/>
    <col min="9494" max="9494" width="4.78515625" style="1349" customWidth="1"/>
    <col min="9495" max="9495" width="10.5703125" style="1349" customWidth="1"/>
    <col min="9496" max="9496" width="7.0703125" style="1349" customWidth="1"/>
    <col min="9497" max="9497" width="8.0703125" style="1349" customWidth="1"/>
    <col min="9498" max="9498" width="7.5703125" style="1349" customWidth="1"/>
    <col min="9499" max="9500" width="7.7109375" style="1349" customWidth="1"/>
    <col min="9501" max="9501" width="7.0703125" style="1349" customWidth="1"/>
    <col min="9502" max="9727" width="9.140625" style="1349"/>
    <col min="9728" max="9728" width="4.28515625" style="1349" customWidth="1"/>
    <col min="9729" max="9729" width="20.5703125" style="1349" customWidth="1"/>
    <col min="9730" max="9730" width="12.28515625" style="1349" customWidth="1"/>
    <col min="9731" max="9731" width="12.5703125" style="1349" customWidth="1"/>
    <col min="9732" max="9732" width="3.78515625" style="1349" customWidth="1"/>
    <col min="9733" max="9734" width="4.0703125" style="1349" customWidth="1"/>
    <col min="9735" max="9735" width="4" style="1349" customWidth="1"/>
    <col min="9736" max="9736" width="16.28515625" style="1349" customWidth="1"/>
    <col min="9737" max="9737" width="5.5703125" style="1349" customWidth="1"/>
    <col min="9738" max="9738" width="8.7109375" style="1349" customWidth="1"/>
    <col min="9739" max="9739" width="5.28515625" style="1349" customWidth="1"/>
    <col min="9740" max="9740" width="4.28515625" style="1349" customWidth="1"/>
    <col min="9741" max="9741" width="4.0703125" style="1349" customWidth="1"/>
    <col min="9742" max="9742" width="3.0703125" style="1349" customWidth="1"/>
    <col min="9743" max="9743" width="4.5703125" style="1349" customWidth="1"/>
    <col min="9744" max="9744" width="4.28515625" style="1349" customWidth="1"/>
    <col min="9745" max="9745" width="4" style="1349" customWidth="1"/>
    <col min="9746" max="9746" width="3" style="1349" customWidth="1"/>
    <col min="9747" max="9747" width="3.78515625" style="1349" customWidth="1"/>
    <col min="9748" max="9748" width="4.28515625" style="1349" customWidth="1"/>
    <col min="9749" max="9749" width="3.28515625" style="1349" customWidth="1"/>
    <col min="9750" max="9750" width="4.78515625" style="1349" customWidth="1"/>
    <col min="9751" max="9751" width="10.5703125" style="1349" customWidth="1"/>
    <col min="9752" max="9752" width="7.0703125" style="1349" customWidth="1"/>
    <col min="9753" max="9753" width="8.0703125" style="1349" customWidth="1"/>
    <col min="9754" max="9754" width="7.5703125" style="1349" customWidth="1"/>
    <col min="9755" max="9756" width="7.7109375" style="1349" customWidth="1"/>
    <col min="9757" max="9757" width="7.0703125" style="1349" customWidth="1"/>
    <col min="9758" max="9983" width="9.140625" style="1349"/>
    <col min="9984" max="9984" width="4.28515625" style="1349" customWidth="1"/>
    <col min="9985" max="9985" width="20.5703125" style="1349" customWidth="1"/>
    <col min="9986" max="9986" width="12.28515625" style="1349" customWidth="1"/>
    <col min="9987" max="9987" width="12.5703125" style="1349" customWidth="1"/>
    <col min="9988" max="9988" width="3.78515625" style="1349" customWidth="1"/>
    <col min="9989" max="9990" width="4.0703125" style="1349" customWidth="1"/>
    <col min="9991" max="9991" width="4" style="1349" customWidth="1"/>
    <col min="9992" max="9992" width="16.28515625" style="1349" customWidth="1"/>
    <col min="9993" max="9993" width="5.5703125" style="1349" customWidth="1"/>
    <col min="9994" max="9994" width="8.7109375" style="1349" customWidth="1"/>
    <col min="9995" max="9995" width="5.28515625" style="1349" customWidth="1"/>
    <col min="9996" max="9996" width="4.28515625" style="1349" customWidth="1"/>
    <col min="9997" max="9997" width="4.0703125" style="1349" customWidth="1"/>
    <col min="9998" max="9998" width="3.0703125" style="1349" customWidth="1"/>
    <col min="9999" max="9999" width="4.5703125" style="1349" customWidth="1"/>
    <col min="10000" max="10000" width="4.28515625" style="1349" customWidth="1"/>
    <col min="10001" max="10001" width="4" style="1349" customWidth="1"/>
    <col min="10002" max="10002" width="3" style="1349" customWidth="1"/>
    <col min="10003" max="10003" width="3.78515625" style="1349" customWidth="1"/>
    <col min="10004" max="10004" width="4.28515625" style="1349" customWidth="1"/>
    <col min="10005" max="10005" width="3.28515625" style="1349" customWidth="1"/>
    <col min="10006" max="10006" width="4.78515625" style="1349" customWidth="1"/>
    <col min="10007" max="10007" width="10.5703125" style="1349" customWidth="1"/>
    <col min="10008" max="10008" width="7.0703125" style="1349" customWidth="1"/>
    <col min="10009" max="10009" width="8.0703125" style="1349" customWidth="1"/>
    <col min="10010" max="10010" width="7.5703125" style="1349" customWidth="1"/>
    <col min="10011" max="10012" width="7.7109375" style="1349" customWidth="1"/>
    <col min="10013" max="10013" width="7.0703125" style="1349" customWidth="1"/>
    <col min="10014" max="10239" width="9.140625" style="1349"/>
    <col min="10240" max="10240" width="4.28515625" style="1349" customWidth="1"/>
    <col min="10241" max="10241" width="20.5703125" style="1349" customWidth="1"/>
    <col min="10242" max="10242" width="12.28515625" style="1349" customWidth="1"/>
    <col min="10243" max="10243" width="12.5703125" style="1349" customWidth="1"/>
    <col min="10244" max="10244" width="3.78515625" style="1349" customWidth="1"/>
    <col min="10245" max="10246" width="4.0703125" style="1349" customWidth="1"/>
    <col min="10247" max="10247" width="4" style="1349" customWidth="1"/>
    <col min="10248" max="10248" width="16.28515625" style="1349" customWidth="1"/>
    <col min="10249" max="10249" width="5.5703125" style="1349" customWidth="1"/>
    <col min="10250" max="10250" width="8.7109375" style="1349" customWidth="1"/>
    <col min="10251" max="10251" width="5.28515625" style="1349" customWidth="1"/>
    <col min="10252" max="10252" width="4.28515625" style="1349" customWidth="1"/>
    <col min="10253" max="10253" width="4.0703125" style="1349" customWidth="1"/>
    <col min="10254" max="10254" width="3.0703125" style="1349" customWidth="1"/>
    <col min="10255" max="10255" width="4.5703125" style="1349" customWidth="1"/>
    <col min="10256" max="10256" width="4.28515625" style="1349" customWidth="1"/>
    <col min="10257" max="10257" width="4" style="1349" customWidth="1"/>
    <col min="10258" max="10258" width="3" style="1349" customWidth="1"/>
    <col min="10259" max="10259" width="3.78515625" style="1349" customWidth="1"/>
    <col min="10260" max="10260" width="4.28515625" style="1349" customWidth="1"/>
    <col min="10261" max="10261" width="3.28515625" style="1349" customWidth="1"/>
    <col min="10262" max="10262" width="4.78515625" style="1349" customWidth="1"/>
    <col min="10263" max="10263" width="10.5703125" style="1349" customWidth="1"/>
    <col min="10264" max="10264" width="7.0703125" style="1349" customWidth="1"/>
    <col min="10265" max="10265" width="8.0703125" style="1349" customWidth="1"/>
    <col min="10266" max="10266" width="7.5703125" style="1349" customWidth="1"/>
    <col min="10267" max="10268" width="7.7109375" style="1349" customWidth="1"/>
    <col min="10269" max="10269" width="7.0703125" style="1349" customWidth="1"/>
    <col min="10270" max="10495" width="9.140625" style="1349"/>
    <col min="10496" max="10496" width="4.28515625" style="1349" customWidth="1"/>
    <col min="10497" max="10497" width="20.5703125" style="1349" customWidth="1"/>
    <col min="10498" max="10498" width="12.28515625" style="1349" customWidth="1"/>
    <col min="10499" max="10499" width="12.5703125" style="1349" customWidth="1"/>
    <col min="10500" max="10500" width="3.78515625" style="1349" customWidth="1"/>
    <col min="10501" max="10502" width="4.0703125" style="1349" customWidth="1"/>
    <col min="10503" max="10503" width="4" style="1349" customWidth="1"/>
    <col min="10504" max="10504" width="16.28515625" style="1349" customWidth="1"/>
    <col min="10505" max="10505" width="5.5703125" style="1349" customWidth="1"/>
    <col min="10506" max="10506" width="8.7109375" style="1349" customWidth="1"/>
    <col min="10507" max="10507" width="5.28515625" style="1349" customWidth="1"/>
    <col min="10508" max="10508" width="4.28515625" style="1349" customWidth="1"/>
    <col min="10509" max="10509" width="4.0703125" style="1349" customWidth="1"/>
    <col min="10510" max="10510" width="3.0703125" style="1349" customWidth="1"/>
    <col min="10511" max="10511" width="4.5703125" style="1349" customWidth="1"/>
    <col min="10512" max="10512" width="4.28515625" style="1349" customWidth="1"/>
    <col min="10513" max="10513" width="4" style="1349" customWidth="1"/>
    <col min="10514" max="10514" width="3" style="1349" customWidth="1"/>
    <col min="10515" max="10515" width="3.78515625" style="1349" customWidth="1"/>
    <col min="10516" max="10516" width="4.28515625" style="1349" customWidth="1"/>
    <col min="10517" max="10517" width="3.28515625" style="1349" customWidth="1"/>
    <col min="10518" max="10518" width="4.78515625" style="1349" customWidth="1"/>
    <col min="10519" max="10519" width="10.5703125" style="1349" customWidth="1"/>
    <col min="10520" max="10520" width="7.0703125" style="1349" customWidth="1"/>
    <col min="10521" max="10521" width="8.0703125" style="1349" customWidth="1"/>
    <col min="10522" max="10522" width="7.5703125" style="1349" customWidth="1"/>
    <col min="10523" max="10524" width="7.7109375" style="1349" customWidth="1"/>
    <col min="10525" max="10525" width="7.0703125" style="1349" customWidth="1"/>
    <col min="10526" max="10751" width="9.140625" style="1349"/>
    <col min="10752" max="10752" width="4.28515625" style="1349" customWidth="1"/>
    <col min="10753" max="10753" width="20.5703125" style="1349" customWidth="1"/>
    <col min="10754" max="10754" width="12.28515625" style="1349" customWidth="1"/>
    <col min="10755" max="10755" width="12.5703125" style="1349" customWidth="1"/>
    <col min="10756" max="10756" width="3.78515625" style="1349" customWidth="1"/>
    <col min="10757" max="10758" width="4.0703125" style="1349" customWidth="1"/>
    <col min="10759" max="10759" width="4" style="1349" customWidth="1"/>
    <col min="10760" max="10760" width="16.28515625" style="1349" customWidth="1"/>
    <col min="10761" max="10761" width="5.5703125" style="1349" customWidth="1"/>
    <col min="10762" max="10762" width="8.7109375" style="1349" customWidth="1"/>
    <col min="10763" max="10763" width="5.28515625" style="1349" customWidth="1"/>
    <col min="10764" max="10764" width="4.28515625" style="1349" customWidth="1"/>
    <col min="10765" max="10765" width="4.0703125" style="1349" customWidth="1"/>
    <col min="10766" max="10766" width="3.0703125" style="1349" customWidth="1"/>
    <col min="10767" max="10767" width="4.5703125" style="1349" customWidth="1"/>
    <col min="10768" max="10768" width="4.28515625" style="1349" customWidth="1"/>
    <col min="10769" max="10769" width="4" style="1349" customWidth="1"/>
    <col min="10770" max="10770" width="3" style="1349" customWidth="1"/>
    <col min="10771" max="10771" width="3.78515625" style="1349" customWidth="1"/>
    <col min="10772" max="10772" width="4.28515625" style="1349" customWidth="1"/>
    <col min="10773" max="10773" width="3.28515625" style="1349" customWidth="1"/>
    <col min="10774" max="10774" width="4.78515625" style="1349" customWidth="1"/>
    <col min="10775" max="10775" width="10.5703125" style="1349" customWidth="1"/>
    <col min="10776" max="10776" width="7.0703125" style="1349" customWidth="1"/>
    <col min="10777" max="10777" width="8.0703125" style="1349" customWidth="1"/>
    <col min="10778" max="10778" width="7.5703125" style="1349" customWidth="1"/>
    <col min="10779" max="10780" width="7.7109375" style="1349" customWidth="1"/>
    <col min="10781" max="10781" width="7.0703125" style="1349" customWidth="1"/>
    <col min="10782" max="11007" width="9.140625" style="1349"/>
    <col min="11008" max="11008" width="4.28515625" style="1349" customWidth="1"/>
    <col min="11009" max="11009" width="20.5703125" style="1349" customWidth="1"/>
    <col min="11010" max="11010" width="12.28515625" style="1349" customWidth="1"/>
    <col min="11011" max="11011" width="12.5703125" style="1349" customWidth="1"/>
    <col min="11012" max="11012" width="3.78515625" style="1349" customWidth="1"/>
    <col min="11013" max="11014" width="4.0703125" style="1349" customWidth="1"/>
    <col min="11015" max="11015" width="4" style="1349" customWidth="1"/>
    <col min="11016" max="11016" width="16.28515625" style="1349" customWidth="1"/>
    <col min="11017" max="11017" width="5.5703125" style="1349" customWidth="1"/>
    <col min="11018" max="11018" width="8.7109375" style="1349" customWidth="1"/>
    <col min="11019" max="11019" width="5.28515625" style="1349" customWidth="1"/>
    <col min="11020" max="11020" width="4.28515625" style="1349" customWidth="1"/>
    <col min="11021" max="11021" width="4.0703125" style="1349" customWidth="1"/>
    <col min="11022" max="11022" width="3.0703125" style="1349" customWidth="1"/>
    <col min="11023" max="11023" width="4.5703125" style="1349" customWidth="1"/>
    <col min="11024" max="11024" width="4.28515625" style="1349" customWidth="1"/>
    <col min="11025" max="11025" width="4" style="1349" customWidth="1"/>
    <col min="11026" max="11026" width="3" style="1349" customWidth="1"/>
    <col min="11027" max="11027" width="3.78515625" style="1349" customWidth="1"/>
    <col min="11028" max="11028" width="4.28515625" style="1349" customWidth="1"/>
    <col min="11029" max="11029" width="3.28515625" style="1349" customWidth="1"/>
    <col min="11030" max="11030" width="4.78515625" style="1349" customWidth="1"/>
    <col min="11031" max="11031" width="10.5703125" style="1349" customWidth="1"/>
    <col min="11032" max="11032" width="7.0703125" style="1349" customWidth="1"/>
    <col min="11033" max="11033" width="8.0703125" style="1349" customWidth="1"/>
    <col min="11034" max="11034" width="7.5703125" style="1349" customWidth="1"/>
    <col min="11035" max="11036" width="7.7109375" style="1349" customWidth="1"/>
    <col min="11037" max="11037" width="7.0703125" style="1349" customWidth="1"/>
    <col min="11038" max="11263" width="9.140625" style="1349"/>
    <col min="11264" max="11264" width="4.28515625" style="1349" customWidth="1"/>
    <col min="11265" max="11265" width="20.5703125" style="1349" customWidth="1"/>
    <col min="11266" max="11266" width="12.28515625" style="1349" customWidth="1"/>
    <col min="11267" max="11267" width="12.5703125" style="1349" customWidth="1"/>
    <col min="11268" max="11268" width="3.78515625" style="1349" customWidth="1"/>
    <col min="11269" max="11270" width="4.0703125" style="1349" customWidth="1"/>
    <col min="11271" max="11271" width="4" style="1349" customWidth="1"/>
    <col min="11272" max="11272" width="16.28515625" style="1349" customWidth="1"/>
    <col min="11273" max="11273" width="5.5703125" style="1349" customWidth="1"/>
    <col min="11274" max="11274" width="8.7109375" style="1349" customWidth="1"/>
    <col min="11275" max="11275" width="5.28515625" style="1349" customWidth="1"/>
    <col min="11276" max="11276" width="4.28515625" style="1349" customWidth="1"/>
    <col min="11277" max="11277" width="4.0703125" style="1349" customWidth="1"/>
    <col min="11278" max="11278" width="3.0703125" style="1349" customWidth="1"/>
    <col min="11279" max="11279" width="4.5703125" style="1349" customWidth="1"/>
    <col min="11280" max="11280" width="4.28515625" style="1349" customWidth="1"/>
    <col min="11281" max="11281" width="4" style="1349" customWidth="1"/>
    <col min="11282" max="11282" width="3" style="1349" customWidth="1"/>
    <col min="11283" max="11283" width="3.78515625" style="1349" customWidth="1"/>
    <col min="11284" max="11284" width="4.28515625" style="1349" customWidth="1"/>
    <col min="11285" max="11285" width="3.28515625" style="1349" customWidth="1"/>
    <col min="11286" max="11286" width="4.78515625" style="1349" customWidth="1"/>
    <col min="11287" max="11287" width="10.5703125" style="1349" customWidth="1"/>
    <col min="11288" max="11288" width="7.0703125" style="1349" customWidth="1"/>
    <col min="11289" max="11289" width="8.0703125" style="1349" customWidth="1"/>
    <col min="11290" max="11290" width="7.5703125" style="1349" customWidth="1"/>
    <col min="11291" max="11292" width="7.7109375" style="1349" customWidth="1"/>
    <col min="11293" max="11293" width="7.0703125" style="1349" customWidth="1"/>
    <col min="11294" max="11519" width="9.140625" style="1349"/>
    <col min="11520" max="11520" width="4.28515625" style="1349" customWidth="1"/>
    <col min="11521" max="11521" width="20.5703125" style="1349" customWidth="1"/>
    <col min="11522" max="11522" width="12.28515625" style="1349" customWidth="1"/>
    <col min="11523" max="11523" width="12.5703125" style="1349" customWidth="1"/>
    <col min="11524" max="11524" width="3.78515625" style="1349" customWidth="1"/>
    <col min="11525" max="11526" width="4.0703125" style="1349" customWidth="1"/>
    <col min="11527" max="11527" width="4" style="1349" customWidth="1"/>
    <col min="11528" max="11528" width="16.28515625" style="1349" customWidth="1"/>
    <col min="11529" max="11529" width="5.5703125" style="1349" customWidth="1"/>
    <col min="11530" max="11530" width="8.7109375" style="1349" customWidth="1"/>
    <col min="11531" max="11531" width="5.28515625" style="1349" customWidth="1"/>
    <col min="11532" max="11532" width="4.28515625" style="1349" customWidth="1"/>
    <col min="11533" max="11533" width="4.0703125" style="1349" customWidth="1"/>
    <col min="11534" max="11534" width="3.0703125" style="1349" customWidth="1"/>
    <col min="11535" max="11535" width="4.5703125" style="1349" customWidth="1"/>
    <col min="11536" max="11536" width="4.28515625" style="1349" customWidth="1"/>
    <col min="11537" max="11537" width="4" style="1349" customWidth="1"/>
    <col min="11538" max="11538" width="3" style="1349" customWidth="1"/>
    <col min="11539" max="11539" width="3.78515625" style="1349" customWidth="1"/>
    <col min="11540" max="11540" width="4.28515625" style="1349" customWidth="1"/>
    <col min="11541" max="11541" width="3.28515625" style="1349" customWidth="1"/>
    <col min="11542" max="11542" width="4.78515625" style="1349" customWidth="1"/>
    <col min="11543" max="11543" width="10.5703125" style="1349" customWidth="1"/>
    <col min="11544" max="11544" width="7.0703125" style="1349" customWidth="1"/>
    <col min="11545" max="11545" width="8.0703125" style="1349" customWidth="1"/>
    <col min="11546" max="11546" width="7.5703125" style="1349" customWidth="1"/>
    <col min="11547" max="11548" width="7.7109375" style="1349" customWidth="1"/>
    <col min="11549" max="11549" width="7.0703125" style="1349" customWidth="1"/>
    <col min="11550" max="11775" width="9.140625" style="1349"/>
    <col min="11776" max="11776" width="4.28515625" style="1349" customWidth="1"/>
    <col min="11777" max="11777" width="20.5703125" style="1349" customWidth="1"/>
    <col min="11778" max="11778" width="12.28515625" style="1349" customWidth="1"/>
    <col min="11779" max="11779" width="12.5703125" style="1349" customWidth="1"/>
    <col min="11780" max="11780" width="3.78515625" style="1349" customWidth="1"/>
    <col min="11781" max="11782" width="4.0703125" style="1349" customWidth="1"/>
    <col min="11783" max="11783" width="4" style="1349" customWidth="1"/>
    <col min="11784" max="11784" width="16.28515625" style="1349" customWidth="1"/>
    <col min="11785" max="11785" width="5.5703125" style="1349" customWidth="1"/>
    <col min="11786" max="11786" width="8.7109375" style="1349" customWidth="1"/>
    <col min="11787" max="11787" width="5.28515625" style="1349" customWidth="1"/>
    <col min="11788" max="11788" width="4.28515625" style="1349" customWidth="1"/>
    <col min="11789" max="11789" width="4.0703125" style="1349" customWidth="1"/>
    <col min="11790" max="11790" width="3.0703125" style="1349" customWidth="1"/>
    <col min="11791" max="11791" width="4.5703125" style="1349" customWidth="1"/>
    <col min="11792" max="11792" width="4.28515625" style="1349" customWidth="1"/>
    <col min="11793" max="11793" width="4" style="1349" customWidth="1"/>
    <col min="11794" max="11794" width="3" style="1349" customWidth="1"/>
    <col min="11795" max="11795" width="3.78515625" style="1349" customWidth="1"/>
    <col min="11796" max="11796" width="4.28515625" style="1349" customWidth="1"/>
    <col min="11797" max="11797" width="3.28515625" style="1349" customWidth="1"/>
    <col min="11798" max="11798" width="4.78515625" style="1349" customWidth="1"/>
    <col min="11799" max="11799" width="10.5703125" style="1349" customWidth="1"/>
    <col min="11800" max="11800" width="7.0703125" style="1349" customWidth="1"/>
    <col min="11801" max="11801" width="8.0703125" style="1349" customWidth="1"/>
    <col min="11802" max="11802" width="7.5703125" style="1349" customWidth="1"/>
    <col min="11803" max="11804" width="7.7109375" style="1349" customWidth="1"/>
    <col min="11805" max="11805" width="7.0703125" style="1349" customWidth="1"/>
    <col min="11806" max="12031" width="9.140625" style="1349"/>
    <col min="12032" max="12032" width="4.28515625" style="1349" customWidth="1"/>
    <col min="12033" max="12033" width="20.5703125" style="1349" customWidth="1"/>
    <col min="12034" max="12034" width="12.28515625" style="1349" customWidth="1"/>
    <col min="12035" max="12035" width="12.5703125" style="1349" customWidth="1"/>
    <col min="12036" max="12036" width="3.78515625" style="1349" customWidth="1"/>
    <col min="12037" max="12038" width="4.0703125" style="1349" customWidth="1"/>
    <col min="12039" max="12039" width="4" style="1349" customWidth="1"/>
    <col min="12040" max="12040" width="16.28515625" style="1349" customWidth="1"/>
    <col min="12041" max="12041" width="5.5703125" style="1349" customWidth="1"/>
    <col min="12042" max="12042" width="8.7109375" style="1349" customWidth="1"/>
    <col min="12043" max="12043" width="5.28515625" style="1349" customWidth="1"/>
    <col min="12044" max="12044" width="4.28515625" style="1349" customWidth="1"/>
    <col min="12045" max="12045" width="4.0703125" style="1349" customWidth="1"/>
    <col min="12046" max="12046" width="3.0703125" style="1349" customWidth="1"/>
    <col min="12047" max="12047" width="4.5703125" style="1349" customWidth="1"/>
    <col min="12048" max="12048" width="4.28515625" style="1349" customWidth="1"/>
    <col min="12049" max="12049" width="4" style="1349" customWidth="1"/>
    <col min="12050" max="12050" width="3" style="1349" customWidth="1"/>
    <col min="12051" max="12051" width="3.78515625" style="1349" customWidth="1"/>
    <col min="12052" max="12052" width="4.28515625" style="1349" customWidth="1"/>
    <col min="12053" max="12053" width="3.28515625" style="1349" customWidth="1"/>
    <col min="12054" max="12054" width="4.78515625" style="1349" customWidth="1"/>
    <col min="12055" max="12055" width="10.5703125" style="1349" customWidth="1"/>
    <col min="12056" max="12056" width="7.0703125" style="1349" customWidth="1"/>
    <col min="12057" max="12057" width="8.0703125" style="1349" customWidth="1"/>
    <col min="12058" max="12058" width="7.5703125" style="1349" customWidth="1"/>
    <col min="12059" max="12060" width="7.7109375" style="1349" customWidth="1"/>
    <col min="12061" max="12061" width="7.0703125" style="1349" customWidth="1"/>
    <col min="12062" max="12287" width="9.140625" style="1349"/>
    <col min="12288" max="12288" width="4.28515625" style="1349" customWidth="1"/>
    <col min="12289" max="12289" width="20.5703125" style="1349" customWidth="1"/>
    <col min="12290" max="12290" width="12.28515625" style="1349" customWidth="1"/>
    <col min="12291" max="12291" width="12.5703125" style="1349" customWidth="1"/>
    <col min="12292" max="12292" width="3.78515625" style="1349" customWidth="1"/>
    <col min="12293" max="12294" width="4.0703125" style="1349" customWidth="1"/>
    <col min="12295" max="12295" width="4" style="1349" customWidth="1"/>
    <col min="12296" max="12296" width="16.28515625" style="1349" customWidth="1"/>
    <col min="12297" max="12297" width="5.5703125" style="1349" customWidth="1"/>
    <col min="12298" max="12298" width="8.7109375" style="1349" customWidth="1"/>
    <col min="12299" max="12299" width="5.28515625" style="1349" customWidth="1"/>
    <col min="12300" max="12300" width="4.28515625" style="1349" customWidth="1"/>
    <col min="12301" max="12301" width="4.0703125" style="1349" customWidth="1"/>
    <col min="12302" max="12302" width="3.0703125" style="1349" customWidth="1"/>
    <col min="12303" max="12303" width="4.5703125" style="1349" customWidth="1"/>
    <col min="12304" max="12304" width="4.28515625" style="1349" customWidth="1"/>
    <col min="12305" max="12305" width="4" style="1349" customWidth="1"/>
    <col min="12306" max="12306" width="3" style="1349" customWidth="1"/>
    <col min="12307" max="12307" width="3.78515625" style="1349" customWidth="1"/>
    <col min="12308" max="12308" width="4.28515625" style="1349" customWidth="1"/>
    <col min="12309" max="12309" width="3.28515625" style="1349" customWidth="1"/>
    <col min="12310" max="12310" width="4.78515625" style="1349" customWidth="1"/>
    <col min="12311" max="12311" width="10.5703125" style="1349" customWidth="1"/>
    <col min="12312" max="12312" width="7.0703125" style="1349" customWidth="1"/>
    <col min="12313" max="12313" width="8.0703125" style="1349" customWidth="1"/>
    <col min="12314" max="12314" width="7.5703125" style="1349" customWidth="1"/>
    <col min="12315" max="12316" width="7.7109375" style="1349" customWidth="1"/>
    <col min="12317" max="12317" width="7.0703125" style="1349" customWidth="1"/>
    <col min="12318" max="12543" width="9.140625" style="1349"/>
    <col min="12544" max="12544" width="4.28515625" style="1349" customWidth="1"/>
    <col min="12545" max="12545" width="20.5703125" style="1349" customWidth="1"/>
    <col min="12546" max="12546" width="12.28515625" style="1349" customWidth="1"/>
    <col min="12547" max="12547" width="12.5703125" style="1349" customWidth="1"/>
    <col min="12548" max="12548" width="3.78515625" style="1349" customWidth="1"/>
    <col min="12549" max="12550" width="4.0703125" style="1349" customWidth="1"/>
    <col min="12551" max="12551" width="4" style="1349" customWidth="1"/>
    <col min="12552" max="12552" width="16.28515625" style="1349" customWidth="1"/>
    <col min="12553" max="12553" width="5.5703125" style="1349" customWidth="1"/>
    <col min="12554" max="12554" width="8.7109375" style="1349" customWidth="1"/>
    <col min="12555" max="12555" width="5.28515625" style="1349" customWidth="1"/>
    <col min="12556" max="12556" width="4.28515625" style="1349" customWidth="1"/>
    <col min="12557" max="12557" width="4.0703125" style="1349" customWidth="1"/>
    <col min="12558" max="12558" width="3.0703125" style="1349" customWidth="1"/>
    <col min="12559" max="12559" width="4.5703125" style="1349" customWidth="1"/>
    <col min="12560" max="12560" width="4.28515625" style="1349" customWidth="1"/>
    <col min="12561" max="12561" width="4" style="1349" customWidth="1"/>
    <col min="12562" max="12562" width="3" style="1349" customWidth="1"/>
    <col min="12563" max="12563" width="3.78515625" style="1349" customWidth="1"/>
    <col min="12564" max="12564" width="4.28515625" style="1349" customWidth="1"/>
    <col min="12565" max="12565" width="3.28515625" style="1349" customWidth="1"/>
    <col min="12566" max="12566" width="4.78515625" style="1349" customWidth="1"/>
    <col min="12567" max="12567" width="10.5703125" style="1349" customWidth="1"/>
    <col min="12568" max="12568" width="7.0703125" style="1349" customWidth="1"/>
    <col min="12569" max="12569" width="8.0703125" style="1349" customWidth="1"/>
    <col min="12570" max="12570" width="7.5703125" style="1349" customWidth="1"/>
    <col min="12571" max="12572" width="7.7109375" style="1349" customWidth="1"/>
    <col min="12573" max="12573" width="7.0703125" style="1349" customWidth="1"/>
    <col min="12574" max="12799" width="9.140625" style="1349"/>
    <col min="12800" max="12800" width="4.28515625" style="1349" customWidth="1"/>
    <col min="12801" max="12801" width="20.5703125" style="1349" customWidth="1"/>
    <col min="12802" max="12802" width="12.28515625" style="1349" customWidth="1"/>
    <col min="12803" max="12803" width="12.5703125" style="1349" customWidth="1"/>
    <col min="12804" max="12804" width="3.78515625" style="1349" customWidth="1"/>
    <col min="12805" max="12806" width="4.0703125" style="1349" customWidth="1"/>
    <col min="12807" max="12807" width="4" style="1349" customWidth="1"/>
    <col min="12808" max="12808" width="16.28515625" style="1349" customWidth="1"/>
    <col min="12809" max="12809" width="5.5703125" style="1349" customWidth="1"/>
    <col min="12810" max="12810" width="8.7109375" style="1349" customWidth="1"/>
    <col min="12811" max="12811" width="5.28515625" style="1349" customWidth="1"/>
    <col min="12812" max="12812" width="4.28515625" style="1349" customWidth="1"/>
    <col min="12813" max="12813" width="4.0703125" style="1349" customWidth="1"/>
    <col min="12814" max="12814" width="3.0703125" style="1349" customWidth="1"/>
    <col min="12815" max="12815" width="4.5703125" style="1349" customWidth="1"/>
    <col min="12816" max="12816" width="4.28515625" style="1349" customWidth="1"/>
    <col min="12817" max="12817" width="4" style="1349" customWidth="1"/>
    <col min="12818" max="12818" width="3" style="1349" customWidth="1"/>
    <col min="12819" max="12819" width="3.78515625" style="1349" customWidth="1"/>
    <col min="12820" max="12820" width="4.28515625" style="1349" customWidth="1"/>
    <col min="12821" max="12821" width="3.28515625" style="1349" customWidth="1"/>
    <col min="12822" max="12822" width="4.78515625" style="1349" customWidth="1"/>
    <col min="12823" max="12823" width="10.5703125" style="1349" customWidth="1"/>
    <col min="12824" max="12824" width="7.0703125" style="1349" customWidth="1"/>
    <col min="12825" max="12825" width="8.0703125" style="1349" customWidth="1"/>
    <col min="12826" max="12826" width="7.5703125" style="1349" customWidth="1"/>
    <col min="12827" max="12828" width="7.7109375" style="1349" customWidth="1"/>
    <col min="12829" max="12829" width="7.0703125" style="1349" customWidth="1"/>
    <col min="12830" max="13055" width="9.140625" style="1349"/>
    <col min="13056" max="13056" width="4.28515625" style="1349" customWidth="1"/>
    <col min="13057" max="13057" width="20.5703125" style="1349" customWidth="1"/>
    <col min="13058" max="13058" width="12.28515625" style="1349" customWidth="1"/>
    <col min="13059" max="13059" width="12.5703125" style="1349" customWidth="1"/>
    <col min="13060" max="13060" width="3.78515625" style="1349" customWidth="1"/>
    <col min="13061" max="13062" width="4.0703125" style="1349" customWidth="1"/>
    <col min="13063" max="13063" width="4" style="1349" customWidth="1"/>
    <col min="13064" max="13064" width="16.28515625" style="1349" customWidth="1"/>
    <col min="13065" max="13065" width="5.5703125" style="1349" customWidth="1"/>
    <col min="13066" max="13066" width="8.7109375" style="1349" customWidth="1"/>
    <col min="13067" max="13067" width="5.28515625" style="1349" customWidth="1"/>
    <col min="13068" max="13068" width="4.28515625" style="1349" customWidth="1"/>
    <col min="13069" max="13069" width="4.0703125" style="1349" customWidth="1"/>
    <col min="13070" max="13070" width="3.0703125" style="1349" customWidth="1"/>
    <col min="13071" max="13071" width="4.5703125" style="1349" customWidth="1"/>
    <col min="13072" max="13072" width="4.28515625" style="1349" customWidth="1"/>
    <col min="13073" max="13073" width="4" style="1349" customWidth="1"/>
    <col min="13074" max="13074" width="3" style="1349" customWidth="1"/>
    <col min="13075" max="13075" width="3.78515625" style="1349" customWidth="1"/>
    <col min="13076" max="13076" width="4.28515625" style="1349" customWidth="1"/>
    <col min="13077" max="13077" width="3.28515625" style="1349" customWidth="1"/>
    <col min="13078" max="13078" width="4.78515625" style="1349" customWidth="1"/>
    <col min="13079" max="13079" width="10.5703125" style="1349" customWidth="1"/>
    <col min="13080" max="13080" width="7.0703125" style="1349" customWidth="1"/>
    <col min="13081" max="13081" width="8.0703125" style="1349" customWidth="1"/>
    <col min="13082" max="13082" width="7.5703125" style="1349" customWidth="1"/>
    <col min="13083" max="13084" width="7.7109375" style="1349" customWidth="1"/>
    <col min="13085" max="13085" width="7.0703125" style="1349" customWidth="1"/>
    <col min="13086" max="13311" width="9.140625" style="1349"/>
    <col min="13312" max="13312" width="4.28515625" style="1349" customWidth="1"/>
    <col min="13313" max="13313" width="20.5703125" style="1349" customWidth="1"/>
    <col min="13314" max="13314" width="12.28515625" style="1349" customWidth="1"/>
    <col min="13315" max="13315" width="12.5703125" style="1349" customWidth="1"/>
    <col min="13316" max="13316" width="3.78515625" style="1349" customWidth="1"/>
    <col min="13317" max="13318" width="4.0703125" style="1349" customWidth="1"/>
    <col min="13319" max="13319" width="4" style="1349" customWidth="1"/>
    <col min="13320" max="13320" width="16.28515625" style="1349" customWidth="1"/>
    <col min="13321" max="13321" width="5.5703125" style="1349" customWidth="1"/>
    <col min="13322" max="13322" width="8.7109375" style="1349" customWidth="1"/>
    <col min="13323" max="13323" width="5.28515625" style="1349" customWidth="1"/>
    <col min="13324" max="13324" width="4.28515625" style="1349" customWidth="1"/>
    <col min="13325" max="13325" width="4.0703125" style="1349" customWidth="1"/>
    <col min="13326" max="13326" width="3.0703125" style="1349" customWidth="1"/>
    <col min="13327" max="13327" width="4.5703125" style="1349" customWidth="1"/>
    <col min="13328" max="13328" width="4.28515625" style="1349" customWidth="1"/>
    <col min="13329" max="13329" width="4" style="1349" customWidth="1"/>
    <col min="13330" max="13330" width="3" style="1349" customWidth="1"/>
    <col min="13331" max="13331" width="3.78515625" style="1349" customWidth="1"/>
    <col min="13332" max="13332" width="4.28515625" style="1349" customWidth="1"/>
    <col min="13333" max="13333" width="3.28515625" style="1349" customWidth="1"/>
    <col min="13334" max="13334" width="4.78515625" style="1349" customWidth="1"/>
    <col min="13335" max="13335" width="10.5703125" style="1349" customWidth="1"/>
    <col min="13336" max="13336" width="7.0703125" style="1349" customWidth="1"/>
    <col min="13337" max="13337" width="8.0703125" style="1349" customWidth="1"/>
    <col min="13338" max="13338" width="7.5703125" style="1349" customWidth="1"/>
    <col min="13339" max="13340" width="7.7109375" style="1349" customWidth="1"/>
    <col min="13341" max="13341" width="7.0703125" style="1349" customWidth="1"/>
    <col min="13342" max="13567" width="9.140625" style="1349"/>
    <col min="13568" max="13568" width="4.28515625" style="1349" customWidth="1"/>
    <col min="13569" max="13569" width="20.5703125" style="1349" customWidth="1"/>
    <col min="13570" max="13570" width="12.28515625" style="1349" customWidth="1"/>
    <col min="13571" max="13571" width="12.5703125" style="1349" customWidth="1"/>
    <col min="13572" max="13572" width="3.78515625" style="1349" customWidth="1"/>
    <col min="13573" max="13574" width="4.0703125" style="1349" customWidth="1"/>
    <col min="13575" max="13575" width="4" style="1349" customWidth="1"/>
    <col min="13576" max="13576" width="16.28515625" style="1349" customWidth="1"/>
    <col min="13577" max="13577" width="5.5703125" style="1349" customWidth="1"/>
    <col min="13578" max="13578" width="8.7109375" style="1349" customWidth="1"/>
    <col min="13579" max="13579" width="5.28515625" style="1349" customWidth="1"/>
    <col min="13580" max="13580" width="4.28515625" style="1349" customWidth="1"/>
    <col min="13581" max="13581" width="4.0703125" style="1349" customWidth="1"/>
    <col min="13582" max="13582" width="3.0703125" style="1349" customWidth="1"/>
    <col min="13583" max="13583" width="4.5703125" style="1349" customWidth="1"/>
    <col min="13584" max="13584" width="4.28515625" style="1349" customWidth="1"/>
    <col min="13585" max="13585" width="4" style="1349" customWidth="1"/>
    <col min="13586" max="13586" width="3" style="1349" customWidth="1"/>
    <col min="13587" max="13587" width="3.78515625" style="1349" customWidth="1"/>
    <col min="13588" max="13588" width="4.28515625" style="1349" customWidth="1"/>
    <col min="13589" max="13589" width="3.28515625" style="1349" customWidth="1"/>
    <col min="13590" max="13590" width="4.78515625" style="1349" customWidth="1"/>
    <col min="13591" max="13591" width="10.5703125" style="1349" customWidth="1"/>
    <col min="13592" max="13592" width="7.0703125" style="1349" customWidth="1"/>
    <col min="13593" max="13593" width="8.0703125" style="1349" customWidth="1"/>
    <col min="13594" max="13594" width="7.5703125" style="1349" customWidth="1"/>
    <col min="13595" max="13596" width="7.7109375" style="1349" customWidth="1"/>
    <col min="13597" max="13597" width="7.0703125" style="1349" customWidth="1"/>
    <col min="13598" max="13823" width="9.140625" style="1349"/>
    <col min="13824" max="13824" width="4.28515625" style="1349" customWidth="1"/>
    <col min="13825" max="13825" width="20.5703125" style="1349" customWidth="1"/>
    <col min="13826" max="13826" width="12.28515625" style="1349" customWidth="1"/>
    <col min="13827" max="13827" width="12.5703125" style="1349" customWidth="1"/>
    <col min="13828" max="13828" width="3.78515625" style="1349" customWidth="1"/>
    <col min="13829" max="13830" width="4.0703125" style="1349" customWidth="1"/>
    <col min="13831" max="13831" width="4" style="1349" customWidth="1"/>
    <col min="13832" max="13832" width="16.28515625" style="1349" customWidth="1"/>
    <col min="13833" max="13833" width="5.5703125" style="1349" customWidth="1"/>
    <col min="13834" max="13834" width="8.7109375" style="1349" customWidth="1"/>
    <col min="13835" max="13835" width="5.28515625" style="1349" customWidth="1"/>
    <col min="13836" max="13836" width="4.28515625" style="1349" customWidth="1"/>
    <col min="13837" max="13837" width="4.0703125" style="1349" customWidth="1"/>
    <col min="13838" max="13838" width="3.0703125" style="1349" customWidth="1"/>
    <col min="13839" max="13839" width="4.5703125" style="1349" customWidth="1"/>
    <col min="13840" max="13840" width="4.28515625" style="1349" customWidth="1"/>
    <col min="13841" max="13841" width="4" style="1349" customWidth="1"/>
    <col min="13842" max="13842" width="3" style="1349" customWidth="1"/>
    <col min="13843" max="13843" width="3.78515625" style="1349" customWidth="1"/>
    <col min="13844" max="13844" width="4.28515625" style="1349" customWidth="1"/>
    <col min="13845" max="13845" width="3.28515625" style="1349" customWidth="1"/>
    <col min="13846" max="13846" width="4.78515625" style="1349" customWidth="1"/>
    <col min="13847" max="13847" width="10.5703125" style="1349" customWidth="1"/>
    <col min="13848" max="13848" width="7.0703125" style="1349" customWidth="1"/>
    <col min="13849" max="13849" width="8.0703125" style="1349" customWidth="1"/>
    <col min="13850" max="13850" width="7.5703125" style="1349" customWidth="1"/>
    <col min="13851" max="13852" width="7.7109375" style="1349" customWidth="1"/>
    <col min="13853" max="13853" width="7.0703125" style="1349" customWidth="1"/>
    <col min="13854" max="14079" width="9.140625" style="1349"/>
    <col min="14080" max="14080" width="4.28515625" style="1349" customWidth="1"/>
    <col min="14081" max="14081" width="20.5703125" style="1349" customWidth="1"/>
    <col min="14082" max="14082" width="12.28515625" style="1349" customWidth="1"/>
    <col min="14083" max="14083" width="12.5703125" style="1349" customWidth="1"/>
    <col min="14084" max="14084" width="3.78515625" style="1349" customWidth="1"/>
    <col min="14085" max="14086" width="4.0703125" style="1349" customWidth="1"/>
    <col min="14087" max="14087" width="4" style="1349" customWidth="1"/>
    <col min="14088" max="14088" width="16.28515625" style="1349" customWidth="1"/>
    <col min="14089" max="14089" width="5.5703125" style="1349" customWidth="1"/>
    <col min="14090" max="14090" width="8.7109375" style="1349" customWidth="1"/>
    <col min="14091" max="14091" width="5.28515625" style="1349" customWidth="1"/>
    <col min="14092" max="14092" width="4.28515625" style="1349" customWidth="1"/>
    <col min="14093" max="14093" width="4.0703125" style="1349" customWidth="1"/>
    <col min="14094" max="14094" width="3.0703125" style="1349" customWidth="1"/>
    <col min="14095" max="14095" width="4.5703125" style="1349" customWidth="1"/>
    <col min="14096" max="14096" width="4.28515625" style="1349" customWidth="1"/>
    <col min="14097" max="14097" width="4" style="1349" customWidth="1"/>
    <col min="14098" max="14098" width="3" style="1349" customWidth="1"/>
    <col min="14099" max="14099" width="3.78515625" style="1349" customWidth="1"/>
    <col min="14100" max="14100" width="4.28515625" style="1349" customWidth="1"/>
    <col min="14101" max="14101" width="3.28515625" style="1349" customWidth="1"/>
    <col min="14102" max="14102" width="4.78515625" style="1349" customWidth="1"/>
    <col min="14103" max="14103" width="10.5703125" style="1349" customWidth="1"/>
    <col min="14104" max="14104" width="7.0703125" style="1349" customWidth="1"/>
    <col min="14105" max="14105" width="8.0703125" style="1349" customWidth="1"/>
    <col min="14106" max="14106" width="7.5703125" style="1349" customWidth="1"/>
    <col min="14107" max="14108" width="7.7109375" style="1349" customWidth="1"/>
    <col min="14109" max="14109" width="7.0703125" style="1349" customWidth="1"/>
    <col min="14110" max="14335" width="9.140625" style="1349"/>
    <col min="14336" max="14336" width="4.28515625" style="1349" customWidth="1"/>
    <col min="14337" max="14337" width="20.5703125" style="1349" customWidth="1"/>
    <col min="14338" max="14338" width="12.28515625" style="1349" customWidth="1"/>
    <col min="14339" max="14339" width="12.5703125" style="1349" customWidth="1"/>
    <col min="14340" max="14340" width="3.78515625" style="1349" customWidth="1"/>
    <col min="14341" max="14342" width="4.0703125" style="1349" customWidth="1"/>
    <col min="14343" max="14343" width="4" style="1349" customWidth="1"/>
    <col min="14344" max="14344" width="16.28515625" style="1349" customWidth="1"/>
    <col min="14345" max="14345" width="5.5703125" style="1349" customWidth="1"/>
    <col min="14346" max="14346" width="8.7109375" style="1349" customWidth="1"/>
    <col min="14347" max="14347" width="5.28515625" style="1349" customWidth="1"/>
    <col min="14348" max="14348" width="4.28515625" style="1349" customWidth="1"/>
    <col min="14349" max="14349" width="4.0703125" style="1349" customWidth="1"/>
    <col min="14350" max="14350" width="3.0703125" style="1349" customWidth="1"/>
    <col min="14351" max="14351" width="4.5703125" style="1349" customWidth="1"/>
    <col min="14352" max="14352" width="4.28515625" style="1349" customWidth="1"/>
    <col min="14353" max="14353" width="4" style="1349" customWidth="1"/>
    <col min="14354" max="14354" width="3" style="1349" customWidth="1"/>
    <col min="14355" max="14355" width="3.78515625" style="1349" customWidth="1"/>
    <col min="14356" max="14356" width="4.28515625" style="1349" customWidth="1"/>
    <col min="14357" max="14357" width="3.28515625" style="1349" customWidth="1"/>
    <col min="14358" max="14358" width="4.78515625" style="1349" customWidth="1"/>
    <col min="14359" max="14359" width="10.5703125" style="1349" customWidth="1"/>
    <col min="14360" max="14360" width="7.0703125" style="1349" customWidth="1"/>
    <col min="14361" max="14361" width="8.0703125" style="1349" customWidth="1"/>
    <col min="14362" max="14362" width="7.5703125" style="1349" customWidth="1"/>
    <col min="14363" max="14364" width="7.7109375" style="1349" customWidth="1"/>
    <col min="14365" max="14365" width="7.0703125" style="1349" customWidth="1"/>
    <col min="14366" max="14591" width="9.140625" style="1349"/>
    <col min="14592" max="14592" width="4.28515625" style="1349" customWidth="1"/>
    <col min="14593" max="14593" width="20.5703125" style="1349" customWidth="1"/>
    <col min="14594" max="14594" width="12.28515625" style="1349" customWidth="1"/>
    <col min="14595" max="14595" width="12.5703125" style="1349" customWidth="1"/>
    <col min="14596" max="14596" width="3.78515625" style="1349" customWidth="1"/>
    <col min="14597" max="14598" width="4.0703125" style="1349" customWidth="1"/>
    <col min="14599" max="14599" width="4" style="1349" customWidth="1"/>
    <col min="14600" max="14600" width="16.28515625" style="1349" customWidth="1"/>
    <col min="14601" max="14601" width="5.5703125" style="1349" customWidth="1"/>
    <col min="14602" max="14602" width="8.7109375" style="1349" customWidth="1"/>
    <col min="14603" max="14603" width="5.28515625" style="1349" customWidth="1"/>
    <col min="14604" max="14604" width="4.28515625" style="1349" customWidth="1"/>
    <col min="14605" max="14605" width="4.0703125" style="1349" customWidth="1"/>
    <col min="14606" max="14606" width="3.0703125" style="1349" customWidth="1"/>
    <col min="14607" max="14607" width="4.5703125" style="1349" customWidth="1"/>
    <col min="14608" max="14608" width="4.28515625" style="1349" customWidth="1"/>
    <col min="14609" max="14609" width="4" style="1349" customWidth="1"/>
    <col min="14610" max="14610" width="3" style="1349" customWidth="1"/>
    <col min="14611" max="14611" width="3.78515625" style="1349" customWidth="1"/>
    <col min="14612" max="14612" width="4.28515625" style="1349" customWidth="1"/>
    <col min="14613" max="14613" width="3.28515625" style="1349" customWidth="1"/>
    <col min="14614" max="14614" width="4.78515625" style="1349" customWidth="1"/>
    <col min="14615" max="14615" width="10.5703125" style="1349" customWidth="1"/>
    <col min="14616" max="14616" width="7.0703125" style="1349" customWidth="1"/>
    <col min="14617" max="14617" width="8.0703125" style="1349" customWidth="1"/>
    <col min="14618" max="14618" width="7.5703125" style="1349" customWidth="1"/>
    <col min="14619" max="14620" width="7.7109375" style="1349" customWidth="1"/>
    <col min="14621" max="14621" width="7.0703125" style="1349" customWidth="1"/>
    <col min="14622" max="14847" width="9.140625" style="1349"/>
    <col min="14848" max="14848" width="4.28515625" style="1349" customWidth="1"/>
    <col min="14849" max="14849" width="20.5703125" style="1349" customWidth="1"/>
    <col min="14850" max="14850" width="12.28515625" style="1349" customWidth="1"/>
    <col min="14851" max="14851" width="12.5703125" style="1349" customWidth="1"/>
    <col min="14852" max="14852" width="3.78515625" style="1349" customWidth="1"/>
    <col min="14853" max="14854" width="4.0703125" style="1349" customWidth="1"/>
    <col min="14855" max="14855" width="4" style="1349" customWidth="1"/>
    <col min="14856" max="14856" width="16.28515625" style="1349" customWidth="1"/>
    <col min="14857" max="14857" width="5.5703125" style="1349" customWidth="1"/>
    <col min="14858" max="14858" width="8.7109375" style="1349" customWidth="1"/>
    <col min="14859" max="14859" width="5.28515625" style="1349" customWidth="1"/>
    <col min="14860" max="14860" width="4.28515625" style="1349" customWidth="1"/>
    <col min="14861" max="14861" width="4.0703125" style="1349" customWidth="1"/>
    <col min="14862" max="14862" width="3.0703125" style="1349" customWidth="1"/>
    <col min="14863" max="14863" width="4.5703125" style="1349" customWidth="1"/>
    <col min="14864" max="14864" width="4.28515625" style="1349" customWidth="1"/>
    <col min="14865" max="14865" width="4" style="1349" customWidth="1"/>
    <col min="14866" max="14866" width="3" style="1349" customWidth="1"/>
    <col min="14867" max="14867" width="3.78515625" style="1349" customWidth="1"/>
    <col min="14868" max="14868" width="4.28515625" style="1349" customWidth="1"/>
    <col min="14869" max="14869" width="3.28515625" style="1349" customWidth="1"/>
    <col min="14870" max="14870" width="4.78515625" style="1349" customWidth="1"/>
    <col min="14871" max="14871" width="10.5703125" style="1349" customWidth="1"/>
    <col min="14872" max="14872" width="7.0703125" style="1349" customWidth="1"/>
    <col min="14873" max="14873" width="8.0703125" style="1349" customWidth="1"/>
    <col min="14874" max="14874" width="7.5703125" style="1349" customWidth="1"/>
    <col min="14875" max="14876" width="7.7109375" style="1349" customWidth="1"/>
    <col min="14877" max="14877" width="7.0703125" style="1349" customWidth="1"/>
    <col min="14878" max="15103" width="9.140625" style="1349"/>
    <col min="15104" max="15104" width="4.28515625" style="1349" customWidth="1"/>
    <col min="15105" max="15105" width="20.5703125" style="1349" customWidth="1"/>
    <col min="15106" max="15106" width="12.28515625" style="1349" customWidth="1"/>
    <col min="15107" max="15107" width="12.5703125" style="1349" customWidth="1"/>
    <col min="15108" max="15108" width="3.78515625" style="1349" customWidth="1"/>
    <col min="15109" max="15110" width="4.0703125" style="1349" customWidth="1"/>
    <col min="15111" max="15111" width="4" style="1349" customWidth="1"/>
    <col min="15112" max="15112" width="16.28515625" style="1349" customWidth="1"/>
    <col min="15113" max="15113" width="5.5703125" style="1349" customWidth="1"/>
    <col min="15114" max="15114" width="8.7109375" style="1349" customWidth="1"/>
    <col min="15115" max="15115" width="5.28515625" style="1349" customWidth="1"/>
    <col min="15116" max="15116" width="4.28515625" style="1349" customWidth="1"/>
    <col min="15117" max="15117" width="4.0703125" style="1349" customWidth="1"/>
    <col min="15118" max="15118" width="3.0703125" style="1349" customWidth="1"/>
    <col min="15119" max="15119" width="4.5703125" style="1349" customWidth="1"/>
    <col min="15120" max="15120" width="4.28515625" style="1349" customWidth="1"/>
    <col min="15121" max="15121" width="4" style="1349" customWidth="1"/>
    <col min="15122" max="15122" width="3" style="1349" customWidth="1"/>
    <col min="15123" max="15123" width="3.78515625" style="1349" customWidth="1"/>
    <col min="15124" max="15124" width="4.28515625" style="1349" customWidth="1"/>
    <col min="15125" max="15125" width="3.28515625" style="1349" customWidth="1"/>
    <col min="15126" max="15126" width="4.78515625" style="1349" customWidth="1"/>
    <col min="15127" max="15127" width="10.5703125" style="1349" customWidth="1"/>
    <col min="15128" max="15128" width="7.0703125" style="1349" customWidth="1"/>
    <col min="15129" max="15129" width="8.0703125" style="1349" customWidth="1"/>
    <col min="15130" max="15130" width="7.5703125" style="1349" customWidth="1"/>
    <col min="15131" max="15132" width="7.7109375" style="1349" customWidth="1"/>
    <col min="15133" max="15133" width="7.0703125" style="1349" customWidth="1"/>
    <col min="15134" max="15359" width="9.140625" style="1349"/>
    <col min="15360" max="15360" width="4.28515625" style="1349" customWidth="1"/>
    <col min="15361" max="15361" width="20.5703125" style="1349" customWidth="1"/>
    <col min="15362" max="15362" width="12.28515625" style="1349" customWidth="1"/>
    <col min="15363" max="15363" width="12.5703125" style="1349" customWidth="1"/>
    <col min="15364" max="15364" width="3.78515625" style="1349" customWidth="1"/>
    <col min="15365" max="15366" width="4.0703125" style="1349" customWidth="1"/>
    <col min="15367" max="15367" width="4" style="1349" customWidth="1"/>
    <col min="15368" max="15368" width="16.28515625" style="1349" customWidth="1"/>
    <col min="15369" max="15369" width="5.5703125" style="1349" customWidth="1"/>
    <col min="15370" max="15370" width="8.7109375" style="1349" customWidth="1"/>
    <col min="15371" max="15371" width="5.28515625" style="1349" customWidth="1"/>
    <col min="15372" max="15372" width="4.28515625" style="1349" customWidth="1"/>
    <col min="15373" max="15373" width="4.0703125" style="1349" customWidth="1"/>
    <col min="15374" max="15374" width="3.0703125" style="1349" customWidth="1"/>
    <col min="15375" max="15375" width="4.5703125" style="1349" customWidth="1"/>
    <col min="15376" max="15376" width="4.28515625" style="1349" customWidth="1"/>
    <col min="15377" max="15377" width="4" style="1349" customWidth="1"/>
    <col min="15378" max="15378" width="3" style="1349" customWidth="1"/>
    <col min="15379" max="15379" width="3.78515625" style="1349" customWidth="1"/>
    <col min="15380" max="15380" width="4.28515625" style="1349" customWidth="1"/>
    <col min="15381" max="15381" width="3.28515625" style="1349" customWidth="1"/>
    <col min="15382" max="15382" width="4.78515625" style="1349" customWidth="1"/>
    <col min="15383" max="15383" width="10.5703125" style="1349" customWidth="1"/>
    <col min="15384" max="15384" width="7.0703125" style="1349" customWidth="1"/>
    <col min="15385" max="15385" width="8.0703125" style="1349" customWidth="1"/>
    <col min="15386" max="15386" width="7.5703125" style="1349" customWidth="1"/>
    <col min="15387" max="15388" width="7.7109375" style="1349" customWidth="1"/>
    <col min="15389" max="15389" width="7.0703125" style="1349" customWidth="1"/>
    <col min="15390" max="15615" width="9.140625" style="1349"/>
    <col min="15616" max="15616" width="4.28515625" style="1349" customWidth="1"/>
    <col min="15617" max="15617" width="20.5703125" style="1349" customWidth="1"/>
    <col min="15618" max="15618" width="12.28515625" style="1349" customWidth="1"/>
    <col min="15619" max="15619" width="12.5703125" style="1349" customWidth="1"/>
    <col min="15620" max="15620" width="3.78515625" style="1349" customWidth="1"/>
    <col min="15621" max="15622" width="4.0703125" style="1349" customWidth="1"/>
    <col min="15623" max="15623" width="4" style="1349" customWidth="1"/>
    <col min="15624" max="15624" width="16.28515625" style="1349" customWidth="1"/>
    <col min="15625" max="15625" width="5.5703125" style="1349" customWidth="1"/>
    <col min="15626" max="15626" width="8.7109375" style="1349" customWidth="1"/>
    <col min="15627" max="15627" width="5.28515625" style="1349" customWidth="1"/>
    <col min="15628" max="15628" width="4.28515625" style="1349" customWidth="1"/>
    <col min="15629" max="15629" width="4.0703125" style="1349" customWidth="1"/>
    <col min="15630" max="15630" width="3.0703125" style="1349" customWidth="1"/>
    <col min="15631" max="15631" width="4.5703125" style="1349" customWidth="1"/>
    <col min="15632" max="15632" width="4.28515625" style="1349" customWidth="1"/>
    <col min="15633" max="15633" width="4" style="1349" customWidth="1"/>
    <col min="15634" max="15634" width="3" style="1349" customWidth="1"/>
    <col min="15635" max="15635" width="3.78515625" style="1349" customWidth="1"/>
    <col min="15636" max="15636" width="4.28515625" style="1349" customWidth="1"/>
    <col min="15637" max="15637" width="3.28515625" style="1349" customWidth="1"/>
    <col min="15638" max="15638" width="4.78515625" style="1349" customWidth="1"/>
    <col min="15639" max="15639" width="10.5703125" style="1349" customWidth="1"/>
    <col min="15640" max="15640" width="7.0703125" style="1349" customWidth="1"/>
    <col min="15641" max="15641" width="8.0703125" style="1349" customWidth="1"/>
    <col min="15642" max="15642" width="7.5703125" style="1349" customWidth="1"/>
    <col min="15643" max="15644" width="7.7109375" style="1349" customWidth="1"/>
    <col min="15645" max="15645" width="7.0703125" style="1349" customWidth="1"/>
    <col min="15646" max="15871" width="9.140625" style="1349"/>
    <col min="15872" max="15872" width="4.28515625" style="1349" customWidth="1"/>
    <col min="15873" max="15873" width="20.5703125" style="1349" customWidth="1"/>
    <col min="15874" max="15874" width="12.28515625" style="1349" customWidth="1"/>
    <col min="15875" max="15875" width="12.5703125" style="1349" customWidth="1"/>
    <col min="15876" max="15876" width="3.78515625" style="1349" customWidth="1"/>
    <col min="15877" max="15878" width="4.0703125" style="1349" customWidth="1"/>
    <col min="15879" max="15879" width="4" style="1349" customWidth="1"/>
    <col min="15880" max="15880" width="16.28515625" style="1349" customWidth="1"/>
    <col min="15881" max="15881" width="5.5703125" style="1349" customWidth="1"/>
    <col min="15882" max="15882" width="8.7109375" style="1349" customWidth="1"/>
    <col min="15883" max="15883" width="5.28515625" style="1349" customWidth="1"/>
    <col min="15884" max="15884" width="4.28515625" style="1349" customWidth="1"/>
    <col min="15885" max="15885" width="4.0703125" style="1349" customWidth="1"/>
    <col min="15886" max="15886" width="3.0703125" style="1349" customWidth="1"/>
    <col min="15887" max="15887" width="4.5703125" style="1349" customWidth="1"/>
    <col min="15888" max="15888" width="4.28515625" style="1349" customWidth="1"/>
    <col min="15889" max="15889" width="4" style="1349" customWidth="1"/>
    <col min="15890" max="15890" width="3" style="1349" customWidth="1"/>
    <col min="15891" max="15891" width="3.78515625" style="1349" customWidth="1"/>
    <col min="15892" max="15892" width="4.28515625" style="1349" customWidth="1"/>
    <col min="15893" max="15893" width="3.28515625" style="1349" customWidth="1"/>
    <col min="15894" max="15894" width="4.78515625" style="1349" customWidth="1"/>
    <col min="15895" max="15895" width="10.5703125" style="1349" customWidth="1"/>
    <col min="15896" max="15896" width="7.0703125" style="1349" customWidth="1"/>
    <col min="15897" max="15897" width="8.0703125" style="1349" customWidth="1"/>
    <col min="15898" max="15898" width="7.5703125" style="1349" customWidth="1"/>
    <col min="15899" max="15900" width="7.7109375" style="1349" customWidth="1"/>
    <col min="15901" max="15901" width="7.0703125" style="1349" customWidth="1"/>
    <col min="15902" max="16127" width="9.140625" style="1349"/>
    <col min="16128" max="16128" width="4.28515625" style="1349" customWidth="1"/>
    <col min="16129" max="16129" width="20.5703125" style="1349" customWidth="1"/>
    <col min="16130" max="16130" width="12.28515625" style="1349" customWidth="1"/>
    <col min="16131" max="16131" width="12.5703125" style="1349" customWidth="1"/>
    <col min="16132" max="16132" width="3.78515625" style="1349" customWidth="1"/>
    <col min="16133" max="16134" width="4.0703125" style="1349" customWidth="1"/>
    <col min="16135" max="16135" width="4" style="1349" customWidth="1"/>
    <col min="16136" max="16136" width="16.28515625" style="1349" customWidth="1"/>
    <col min="16137" max="16137" width="5.5703125" style="1349" customWidth="1"/>
    <col min="16138" max="16138" width="8.7109375" style="1349" customWidth="1"/>
    <col min="16139" max="16139" width="5.28515625" style="1349" customWidth="1"/>
    <col min="16140" max="16140" width="4.28515625" style="1349" customWidth="1"/>
    <col min="16141" max="16141" width="4.0703125" style="1349" customWidth="1"/>
    <col min="16142" max="16142" width="3.0703125" style="1349" customWidth="1"/>
    <col min="16143" max="16143" width="4.5703125" style="1349" customWidth="1"/>
    <col min="16144" max="16144" width="4.28515625" style="1349" customWidth="1"/>
    <col min="16145" max="16145" width="4" style="1349" customWidth="1"/>
    <col min="16146" max="16146" width="3" style="1349" customWidth="1"/>
    <col min="16147" max="16147" width="3.78515625" style="1349" customWidth="1"/>
    <col min="16148" max="16148" width="4.28515625" style="1349" customWidth="1"/>
    <col min="16149" max="16149" width="3.28515625" style="1349" customWidth="1"/>
    <col min="16150" max="16150" width="4.78515625" style="1349" customWidth="1"/>
    <col min="16151" max="16151" width="10.5703125" style="1349" customWidth="1"/>
    <col min="16152" max="16152" width="7.0703125" style="1349" customWidth="1"/>
    <col min="16153" max="16153" width="8.0703125" style="1349" customWidth="1"/>
    <col min="16154" max="16154" width="7.5703125" style="1349" customWidth="1"/>
    <col min="16155" max="16156" width="7.7109375" style="1349" customWidth="1"/>
    <col min="16157" max="16157" width="7.0703125" style="1349" customWidth="1"/>
    <col min="16158" max="16384" width="9.140625" style="1349"/>
  </cols>
  <sheetData>
    <row r="1" spans="1:31" ht="34.950000000000003" customHeight="1">
      <c r="D1" s="3177" t="s">
        <v>186</v>
      </c>
      <c r="E1" s="3177"/>
      <c r="F1" s="3177"/>
      <c r="G1" s="3177"/>
      <c r="H1" s="3177"/>
      <c r="I1" s="3177"/>
      <c r="J1" s="3177"/>
      <c r="K1" s="3177"/>
      <c r="L1" s="3177"/>
      <c r="M1" s="3177"/>
      <c r="N1" s="3177"/>
      <c r="O1" s="3177"/>
      <c r="P1" s="3177"/>
      <c r="Q1" s="3177"/>
      <c r="R1" s="3177"/>
      <c r="S1" s="3177"/>
      <c r="T1" s="3177"/>
      <c r="U1" s="3177"/>
      <c r="V1" s="3177"/>
      <c r="W1" s="3177"/>
      <c r="X1" s="3177"/>
      <c r="Y1" s="3177"/>
      <c r="Z1" s="3177"/>
      <c r="AA1" s="3177"/>
      <c r="AB1" s="3177"/>
    </row>
    <row r="2" spans="1:31" ht="34.950000000000003" customHeight="1">
      <c r="D2" s="1350" t="s">
        <v>0</v>
      </c>
      <c r="E2" s="1351" t="s">
        <v>1</v>
      </c>
      <c r="G2" s="1352" t="s">
        <v>238</v>
      </c>
      <c r="J2" s="1353"/>
      <c r="N2" s="1348"/>
    </row>
    <row r="3" spans="1:31" ht="34.950000000000003" customHeight="1">
      <c r="D3" s="1357" t="s">
        <v>2</v>
      </c>
      <c r="F3" s="1357"/>
      <c r="G3" s="1357"/>
      <c r="H3" s="1357"/>
      <c r="I3" s="1357"/>
      <c r="J3" s="1357"/>
      <c r="K3" s="1357"/>
      <c r="L3" s="1357"/>
      <c r="M3" s="1357"/>
      <c r="N3" s="1477"/>
      <c r="O3" s="1358"/>
      <c r="P3" s="1358"/>
      <c r="Q3" s="1358"/>
      <c r="R3" s="1358"/>
      <c r="S3" s="1358"/>
      <c r="T3" s="1358"/>
      <c r="U3" s="1358"/>
      <c r="V3" s="1358"/>
    </row>
    <row r="4" spans="1:31" ht="34.950000000000003" customHeight="1">
      <c r="D4" s="1357" t="s">
        <v>187</v>
      </c>
      <c r="F4" s="1357"/>
      <c r="G4" s="1357"/>
      <c r="H4" s="1357"/>
      <c r="I4" s="1357"/>
      <c r="J4" s="1357"/>
      <c r="K4" s="1357"/>
      <c r="N4" s="1348"/>
      <c r="R4" s="1358"/>
      <c r="S4" s="1358"/>
      <c r="T4" s="1358"/>
      <c r="U4" s="1358"/>
      <c r="V4" s="1358"/>
    </row>
    <row r="5" spans="1:31" ht="34.950000000000003" customHeight="1">
      <c r="D5" s="1350" t="s">
        <v>188</v>
      </c>
      <c r="F5" s="1357"/>
      <c r="G5" s="1357"/>
      <c r="H5" s="1357"/>
      <c r="I5" s="1357"/>
      <c r="J5" s="1357"/>
      <c r="K5" s="1357" t="s">
        <v>3</v>
      </c>
      <c r="M5" s="438" t="s">
        <v>37</v>
      </c>
      <c r="N5" s="431" t="s">
        <v>11</v>
      </c>
      <c r="O5" s="433" t="s">
        <v>22</v>
      </c>
      <c r="P5" s="433" t="s">
        <v>23</v>
      </c>
      <c r="Q5" s="433" t="s">
        <v>24</v>
      </c>
      <c r="R5" s="433" t="s">
        <v>25</v>
      </c>
      <c r="S5" s="433" t="s">
        <v>26</v>
      </c>
      <c r="T5" s="433" t="s">
        <v>27</v>
      </c>
      <c r="U5" s="433" t="s">
        <v>28</v>
      </c>
      <c r="V5" s="433" t="s">
        <v>29</v>
      </c>
      <c r="W5" s="433" t="s">
        <v>30</v>
      </c>
      <c r="X5" s="433" t="s">
        <v>31</v>
      </c>
      <c r="Y5" s="433" t="s">
        <v>32</v>
      </c>
      <c r="Z5" s="433" t="s">
        <v>33</v>
      </c>
      <c r="AA5" s="2053" t="s">
        <v>2287</v>
      </c>
      <c r="AB5" s="2053" t="s">
        <v>2288</v>
      </c>
      <c r="AC5" s="2053" t="s">
        <v>2289</v>
      </c>
      <c r="AD5" s="2053" t="s">
        <v>2290</v>
      </c>
      <c r="AE5" s="2053" t="s">
        <v>2291</v>
      </c>
    </row>
    <row r="6" spans="1:31" ht="34.950000000000003" customHeight="1">
      <c r="D6" s="1357" t="s">
        <v>4</v>
      </c>
      <c r="F6" s="1357"/>
      <c r="G6" s="1357" t="s">
        <v>5</v>
      </c>
      <c r="H6" s="1357"/>
      <c r="I6" s="1357"/>
      <c r="J6" s="1357"/>
      <c r="K6" s="1357"/>
      <c r="M6" s="2873">
        <v>12</v>
      </c>
      <c r="N6" s="432">
        <f>SUM(N11:N72)</f>
        <v>946910</v>
      </c>
      <c r="O6" s="432">
        <f>O11+O18+O22+O32+O36+O45+O51+O55+O59+O62+O64+O66</f>
        <v>720</v>
      </c>
      <c r="P6" s="432">
        <f t="shared" ref="P6:Z6" si="0">P11+P18+P22+P32+P36+P45+P51+P55+P59+P62+P64+P66</f>
        <v>7345</v>
      </c>
      <c r="Q6" s="432">
        <f t="shared" si="0"/>
        <v>164720</v>
      </c>
      <c r="R6" s="432">
        <f t="shared" si="0"/>
        <v>627540</v>
      </c>
      <c r="S6" s="432">
        <f t="shared" si="0"/>
        <v>22040</v>
      </c>
      <c r="T6" s="432">
        <f t="shared" si="0"/>
        <v>28240</v>
      </c>
      <c r="U6" s="432">
        <f t="shared" si="0"/>
        <v>4640</v>
      </c>
      <c r="V6" s="432">
        <f t="shared" si="0"/>
        <v>20240</v>
      </c>
      <c r="W6" s="432">
        <f t="shared" si="0"/>
        <v>12640</v>
      </c>
      <c r="X6" s="432">
        <f t="shared" si="0"/>
        <v>6720</v>
      </c>
      <c r="Y6" s="432">
        <f t="shared" si="0"/>
        <v>1345</v>
      </c>
      <c r="Z6" s="432">
        <f t="shared" si="0"/>
        <v>50720</v>
      </c>
      <c r="AA6" s="2058">
        <f>N11+N18+N22+N36+N59+N62+N64</f>
        <v>152810</v>
      </c>
      <c r="AB6" s="2058"/>
      <c r="AC6" s="2059">
        <f>N32+N45+N51+N55+N66</f>
        <v>794100</v>
      </c>
      <c r="AD6" s="2060"/>
      <c r="AE6" s="2058">
        <f>N69</f>
        <v>0</v>
      </c>
    </row>
    <row r="7" spans="1:31" ht="34.950000000000003" customHeight="1">
      <c r="D7" s="1348"/>
      <c r="E7" s="1359"/>
      <c r="F7" s="1357"/>
      <c r="G7" s="1357" t="s">
        <v>3</v>
      </c>
      <c r="H7" s="1357"/>
      <c r="I7" s="1357"/>
      <c r="J7" s="1357"/>
      <c r="K7" s="1357"/>
      <c r="M7" s="436"/>
      <c r="N7" s="434"/>
      <c r="O7" s="435"/>
      <c r="P7" s="435"/>
      <c r="Q7" s="435">
        <f>O6+P6+Q6</f>
        <v>172785</v>
      </c>
      <c r="R7" s="435"/>
      <c r="S7" s="435"/>
      <c r="T7" s="435">
        <f>R6+S6+T6</f>
        <v>677820</v>
      </c>
      <c r="U7" s="435"/>
      <c r="V7" s="435"/>
      <c r="W7" s="435">
        <f>U6+V6+W6</f>
        <v>37520</v>
      </c>
      <c r="X7" s="435"/>
      <c r="Y7" s="435"/>
      <c r="Z7" s="435">
        <f>X6+Y6+Z6</f>
        <v>58785</v>
      </c>
    </row>
    <row r="8" spans="1:31" ht="34.950000000000003" customHeight="1">
      <c r="A8" s="1360" t="s">
        <v>34</v>
      </c>
      <c r="B8" s="1361"/>
      <c r="C8" s="1362"/>
      <c r="D8" s="3178" t="s">
        <v>6</v>
      </c>
      <c r="E8" s="3181" t="s">
        <v>7</v>
      </c>
      <c r="F8" s="3181" t="s">
        <v>8</v>
      </c>
      <c r="G8" s="3181" t="s">
        <v>9</v>
      </c>
      <c r="H8" s="3184" t="s">
        <v>10</v>
      </c>
      <c r="I8" s="3185"/>
      <c r="J8" s="3185"/>
      <c r="K8" s="3186"/>
      <c r="L8" s="3184" t="s">
        <v>11</v>
      </c>
      <c r="M8" s="3186"/>
      <c r="N8" s="3190" t="s">
        <v>12</v>
      </c>
      <c r="O8" s="3193" t="s">
        <v>13</v>
      </c>
      <c r="P8" s="3193"/>
      <c r="Q8" s="3193"/>
      <c r="R8" s="3193"/>
      <c r="S8" s="3193"/>
      <c r="T8" s="3193"/>
      <c r="U8" s="3193"/>
      <c r="V8" s="3193"/>
      <c r="W8" s="3193"/>
      <c r="X8" s="3193"/>
      <c r="Y8" s="3193"/>
      <c r="Z8" s="3193"/>
      <c r="AA8" s="3194" t="s">
        <v>14</v>
      </c>
      <c r="AB8" s="3197" t="s">
        <v>15</v>
      </c>
    </row>
    <row r="9" spans="1:31" ht="34.950000000000003" customHeight="1">
      <c r="A9" s="1363"/>
      <c r="B9" s="1364"/>
      <c r="C9" s="1365"/>
      <c r="D9" s="3179"/>
      <c r="E9" s="3182"/>
      <c r="F9" s="3182"/>
      <c r="G9" s="3182"/>
      <c r="H9" s="3187"/>
      <c r="I9" s="3188"/>
      <c r="J9" s="3188"/>
      <c r="K9" s="3189"/>
      <c r="L9" s="3187"/>
      <c r="M9" s="3189"/>
      <c r="N9" s="3191"/>
      <c r="O9" s="3193" t="s">
        <v>16</v>
      </c>
      <c r="P9" s="3193"/>
      <c r="Q9" s="3193"/>
      <c r="R9" s="3193" t="s">
        <v>17</v>
      </c>
      <c r="S9" s="3193"/>
      <c r="T9" s="3193"/>
      <c r="U9" s="3193" t="s">
        <v>18</v>
      </c>
      <c r="V9" s="3193"/>
      <c r="W9" s="3193"/>
      <c r="X9" s="3193" t="s">
        <v>19</v>
      </c>
      <c r="Y9" s="3193"/>
      <c r="Z9" s="3193"/>
      <c r="AA9" s="3195"/>
      <c r="AB9" s="3197"/>
    </row>
    <row r="10" spans="1:31" ht="34.950000000000003" customHeight="1">
      <c r="A10" s="1366" t="s">
        <v>36</v>
      </c>
      <c r="B10" s="1367" t="s">
        <v>35</v>
      </c>
      <c r="C10" s="1367" t="s">
        <v>37</v>
      </c>
      <c r="D10" s="3180"/>
      <c r="E10" s="3183"/>
      <c r="F10" s="3183"/>
      <c r="G10" s="3183"/>
      <c r="H10" s="1368">
        <v>1</v>
      </c>
      <c r="I10" s="1368">
        <v>2</v>
      </c>
      <c r="J10" s="1368">
        <v>3</v>
      </c>
      <c r="K10" s="1368">
        <v>4</v>
      </c>
      <c r="L10" s="1368" t="s">
        <v>20</v>
      </c>
      <c r="M10" s="1369" t="s">
        <v>21</v>
      </c>
      <c r="N10" s="3192"/>
      <c r="O10" s="1370" t="s">
        <v>22</v>
      </c>
      <c r="P10" s="1370" t="s">
        <v>23</v>
      </c>
      <c r="Q10" s="1370" t="s">
        <v>24</v>
      </c>
      <c r="R10" s="1370" t="s">
        <v>25</v>
      </c>
      <c r="S10" s="1370" t="s">
        <v>26</v>
      </c>
      <c r="T10" s="1370" t="s">
        <v>27</v>
      </c>
      <c r="U10" s="1370" t="s">
        <v>28</v>
      </c>
      <c r="V10" s="1370" t="s">
        <v>29</v>
      </c>
      <c r="W10" s="1370" t="s">
        <v>30</v>
      </c>
      <c r="X10" s="1370" t="s">
        <v>31</v>
      </c>
      <c r="Y10" s="1370" t="s">
        <v>32</v>
      </c>
      <c r="Z10" s="1370" t="s">
        <v>33</v>
      </c>
      <c r="AA10" s="3196"/>
      <c r="AB10" s="3197"/>
    </row>
    <row r="11" spans="1:31" ht="35.6" customHeight="1">
      <c r="A11" s="1311">
        <v>4</v>
      </c>
      <c r="B11" s="1388">
        <v>13</v>
      </c>
      <c r="C11" s="1388">
        <v>36</v>
      </c>
      <c r="D11" s="1375">
        <v>1</v>
      </c>
      <c r="E11" s="1449" t="s">
        <v>2068</v>
      </c>
      <c r="F11" s="1450"/>
      <c r="G11" s="1451"/>
      <c r="H11" s="1377"/>
      <c r="I11" s="1377"/>
      <c r="J11" s="1452"/>
      <c r="K11" s="1377"/>
      <c r="L11" s="1377"/>
      <c r="M11" s="1453"/>
      <c r="N11" s="1454">
        <f>SUM(M12:M17)</f>
        <v>15600</v>
      </c>
      <c r="O11" s="1453">
        <f>SUM(O12:O17)</f>
        <v>0</v>
      </c>
      <c r="P11" s="1453">
        <f t="shared" ref="P11:Z11" si="1">SUM(P12:P17)</f>
        <v>0</v>
      </c>
      <c r="Q11" s="1453">
        <f t="shared" si="1"/>
        <v>0</v>
      </c>
      <c r="R11" s="1453">
        <f t="shared" si="1"/>
        <v>0</v>
      </c>
      <c r="S11" s="1453">
        <f t="shared" si="1"/>
        <v>0</v>
      </c>
      <c r="T11" s="1453">
        <f t="shared" si="1"/>
        <v>0</v>
      </c>
      <c r="U11" s="1453">
        <f t="shared" si="1"/>
        <v>0</v>
      </c>
      <c r="V11" s="1453">
        <f t="shared" si="1"/>
        <v>15600</v>
      </c>
      <c r="W11" s="1453">
        <f t="shared" si="1"/>
        <v>0</v>
      </c>
      <c r="X11" s="1453">
        <f t="shared" si="1"/>
        <v>0</v>
      </c>
      <c r="Y11" s="1453">
        <f t="shared" si="1"/>
        <v>0</v>
      </c>
      <c r="Z11" s="1453">
        <f t="shared" si="1"/>
        <v>0</v>
      </c>
      <c r="AA11" s="1377" t="s">
        <v>2081</v>
      </c>
      <c r="AB11" s="1311" t="s">
        <v>893</v>
      </c>
    </row>
    <row r="12" spans="1:31" ht="61.3" customHeight="1">
      <c r="A12" s="1366"/>
      <c r="B12" s="1372"/>
      <c r="C12" s="1372"/>
      <c r="D12" s="1372"/>
      <c r="E12" s="1349"/>
      <c r="F12" s="1380" t="s">
        <v>719</v>
      </c>
      <c r="G12" s="1455" t="s">
        <v>720</v>
      </c>
      <c r="H12" s="1368"/>
      <c r="I12" s="1368" t="s">
        <v>721</v>
      </c>
      <c r="K12" s="1368"/>
      <c r="L12" s="1380" t="s">
        <v>722</v>
      </c>
      <c r="M12" s="1381">
        <v>3600</v>
      </c>
      <c r="N12" s="1381"/>
      <c r="O12" s="1381"/>
      <c r="P12" s="1381"/>
      <c r="Q12" s="1381"/>
      <c r="R12" s="1381"/>
      <c r="S12" s="1381"/>
      <c r="T12" s="1381"/>
      <c r="U12" s="1381"/>
      <c r="V12" s="1381">
        <v>15600</v>
      </c>
      <c r="W12" s="1381"/>
      <c r="X12" s="1381"/>
      <c r="Y12" s="1381"/>
      <c r="Z12" s="1381"/>
      <c r="AA12" s="1368" t="s">
        <v>723</v>
      </c>
      <c r="AB12" s="1367" t="s">
        <v>724</v>
      </c>
    </row>
    <row r="13" spans="1:31" ht="60" customHeight="1">
      <c r="A13" s="1366"/>
      <c r="B13" s="1371"/>
      <c r="C13" s="1371"/>
      <c r="D13" s="1372"/>
      <c r="E13" s="1380"/>
      <c r="F13" s="1380" t="s">
        <v>725</v>
      </c>
      <c r="G13" s="1380"/>
      <c r="H13" s="1368"/>
      <c r="I13" s="1368"/>
      <c r="J13" s="1368"/>
      <c r="K13" s="1368"/>
      <c r="L13" s="1380" t="s">
        <v>726</v>
      </c>
      <c r="M13" s="1381">
        <v>5000</v>
      </c>
      <c r="N13" s="1381"/>
      <c r="O13" s="1382"/>
      <c r="P13" s="1382"/>
      <c r="Q13" s="1382"/>
      <c r="R13" s="1382"/>
      <c r="S13" s="1382"/>
      <c r="T13" s="1382"/>
      <c r="U13" s="1382"/>
      <c r="V13" s="1382"/>
      <c r="W13" s="1382"/>
      <c r="X13" s="1382"/>
      <c r="Y13" s="1382"/>
      <c r="Z13" s="1382"/>
      <c r="AA13" s="1373"/>
      <c r="AB13" s="1374"/>
    </row>
    <row r="14" spans="1:31" ht="75.45" customHeight="1">
      <c r="A14" s="1366"/>
      <c r="B14" s="1371"/>
      <c r="C14" s="1371"/>
      <c r="D14" s="1371"/>
      <c r="E14" s="1380"/>
      <c r="F14" s="1380" t="s">
        <v>727</v>
      </c>
      <c r="G14" s="1380"/>
      <c r="H14" s="1368"/>
      <c r="I14" s="1368"/>
      <c r="J14" s="1368"/>
      <c r="K14" s="1368"/>
      <c r="L14" s="1380" t="s">
        <v>728</v>
      </c>
      <c r="M14" s="1381">
        <v>7000</v>
      </c>
      <c r="N14" s="1381"/>
      <c r="O14" s="1382"/>
      <c r="P14" s="1382"/>
      <c r="Q14" s="1382"/>
      <c r="R14" s="1382"/>
      <c r="S14" s="1382"/>
      <c r="T14" s="1382"/>
      <c r="U14" s="1382"/>
      <c r="V14" s="1382"/>
      <c r="W14" s="1382"/>
      <c r="X14" s="1382"/>
      <c r="Y14" s="1382"/>
      <c r="Z14" s="1382"/>
      <c r="AA14" s="1373"/>
      <c r="AB14" s="1374"/>
    </row>
    <row r="15" spans="1:31" ht="228.45" customHeight="1">
      <c r="A15" s="1366"/>
      <c r="B15" s="1371"/>
      <c r="C15" s="1371"/>
      <c r="D15" s="1372"/>
      <c r="E15" s="1371" t="s">
        <v>729</v>
      </c>
      <c r="F15" s="1371" t="s">
        <v>730</v>
      </c>
      <c r="G15" s="1371" t="s">
        <v>731</v>
      </c>
      <c r="H15" s="1367"/>
      <c r="I15" s="1368" t="s">
        <v>721</v>
      </c>
      <c r="J15" s="1367"/>
      <c r="K15" s="1367"/>
      <c r="L15" s="1380" t="s">
        <v>732</v>
      </c>
      <c r="M15" s="1383"/>
      <c r="N15" s="1393"/>
      <c r="O15" s="1384"/>
      <c r="P15" s="1384"/>
      <c r="Q15" s="1384"/>
      <c r="R15" s="1384"/>
      <c r="S15" s="1385"/>
      <c r="T15" s="1385"/>
      <c r="U15" s="1384"/>
      <c r="V15" s="1384"/>
      <c r="W15" s="1384"/>
      <c r="X15" s="1384"/>
      <c r="Y15" s="1384"/>
      <c r="Z15" s="1384"/>
      <c r="AA15" s="1373" t="s">
        <v>723</v>
      </c>
      <c r="AB15" s="1374"/>
    </row>
    <row r="16" spans="1:31" ht="94.75" customHeight="1">
      <c r="A16" s="1366"/>
      <c r="B16" s="1371"/>
      <c r="C16" s="1371"/>
      <c r="D16" s="1371"/>
      <c r="E16" s="1371"/>
      <c r="F16" s="1371" t="s">
        <v>733</v>
      </c>
      <c r="G16" s="1371"/>
      <c r="H16" s="1368"/>
      <c r="I16" s="1367"/>
      <c r="J16" s="1367"/>
      <c r="K16" s="1367"/>
      <c r="L16" s="1380"/>
      <c r="M16" s="1386"/>
      <c r="N16" s="1393"/>
      <c r="O16" s="1387"/>
      <c r="P16" s="1387"/>
      <c r="Q16" s="1387"/>
      <c r="R16" s="1387"/>
      <c r="S16" s="1387"/>
      <c r="T16" s="1387"/>
      <c r="U16" s="1387"/>
      <c r="V16" s="1387"/>
      <c r="W16" s="1387"/>
      <c r="X16" s="1387"/>
      <c r="Y16" s="1387"/>
      <c r="Z16" s="1387"/>
      <c r="AA16" s="1374"/>
      <c r="AB16" s="1374"/>
    </row>
    <row r="17" spans="1:30" ht="87.45" customHeight="1">
      <c r="A17" s="1366"/>
      <c r="B17" s="1371"/>
      <c r="C17" s="1371"/>
      <c r="D17" s="1371"/>
      <c r="E17" s="1371"/>
      <c r="F17" s="1371" t="s">
        <v>734</v>
      </c>
      <c r="G17" s="1371"/>
      <c r="H17" s="1368"/>
      <c r="I17" s="1368"/>
      <c r="J17" s="1368"/>
      <c r="K17" s="1368"/>
      <c r="L17" s="1380"/>
      <c r="M17" s="1386"/>
      <c r="N17" s="1393"/>
      <c r="O17" s="1387"/>
      <c r="P17" s="1387"/>
      <c r="Q17" s="1387"/>
      <c r="R17" s="1387"/>
      <c r="S17" s="1387"/>
      <c r="T17" s="1387"/>
      <c r="U17" s="1387"/>
      <c r="V17" s="1387"/>
      <c r="W17" s="1387"/>
      <c r="X17" s="1387"/>
      <c r="Y17" s="1387"/>
      <c r="Z17" s="1387"/>
      <c r="AA17" s="1374"/>
      <c r="AB17" s="1374"/>
    </row>
    <row r="18" spans="1:30" ht="37.75" customHeight="1">
      <c r="A18" s="1311">
        <v>4</v>
      </c>
      <c r="B18" s="1388">
        <v>13</v>
      </c>
      <c r="C18" s="1388">
        <v>57</v>
      </c>
      <c r="D18" s="1388">
        <v>2</v>
      </c>
      <c r="E18" s="1379" t="s">
        <v>2069</v>
      </c>
      <c r="F18" s="1388"/>
      <c r="G18" s="1388"/>
      <c r="H18" s="1377"/>
      <c r="I18" s="1377"/>
      <c r="J18" s="1377"/>
      <c r="K18" s="1377"/>
      <c r="L18" s="1376"/>
      <c r="M18" s="1389"/>
      <c r="N18" s="1390">
        <f>SUM(M19:M21)</f>
        <v>17400</v>
      </c>
      <c r="O18" s="1391">
        <f>SUM(O19:O21)</f>
        <v>0</v>
      </c>
      <c r="P18" s="1391">
        <f t="shared" ref="P18:Z18" si="2">SUM(P19:P21)</f>
        <v>0</v>
      </c>
      <c r="Q18" s="1391">
        <f t="shared" si="2"/>
        <v>0</v>
      </c>
      <c r="R18" s="1391">
        <f t="shared" si="2"/>
        <v>0</v>
      </c>
      <c r="S18" s="1391">
        <f t="shared" si="2"/>
        <v>17400</v>
      </c>
      <c r="T18" s="1391">
        <f t="shared" si="2"/>
        <v>0</v>
      </c>
      <c r="U18" s="1391">
        <f t="shared" si="2"/>
        <v>0</v>
      </c>
      <c r="V18" s="1391">
        <f t="shared" si="2"/>
        <v>0</v>
      </c>
      <c r="W18" s="1391">
        <f t="shared" si="2"/>
        <v>0</v>
      </c>
      <c r="X18" s="1391">
        <f t="shared" si="2"/>
        <v>0</v>
      </c>
      <c r="Y18" s="1391">
        <f t="shared" si="2"/>
        <v>0</v>
      </c>
      <c r="Z18" s="1391">
        <f t="shared" si="2"/>
        <v>0</v>
      </c>
      <c r="AA18" s="1377" t="s">
        <v>2081</v>
      </c>
      <c r="AB18" s="1311" t="s">
        <v>893</v>
      </c>
    </row>
    <row r="19" spans="1:30" ht="139.75" customHeight="1">
      <c r="A19" s="1366"/>
      <c r="B19" s="1371"/>
      <c r="C19" s="1371"/>
      <c r="D19" s="1371"/>
      <c r="E19" s="1349"/>
      <c r="F19" s="1371" t="s">
        <v>2070</v>
      </c>
      <c r="G19" s="1371" t="s">
        <v>735</v>
      </c>
      <c r="H19" s="1368"/>
      <c r="I19" s="1368" t="s">
        <v>721</v>
      </c>
      <c r="J19" s="1368"/>
      <c r="K19" s="1367"/>
      <c r="L19" s="1371" t="s">
        <v>736</v>
      </c>
      <c r="M19" s="1386">
        <v>5400</v>
      </c>
      <c r="N19" s="1393"/>
      <c r="O19" s="1394"/>
      <c r="P19" s="1394"/>
      <c r="Q19" s="1394"/>
      <c r="R19" s="1394"/>
      <c r="S19" s="1393">
        <v>17400</v>
      </c>
      <c r="T19" s="1394"/>
      <c r="U19" s="1394"/>
      <c r="V19" s="1394"/>
      <c r="W19" s="1394"/>
      <c r="X19" s="1394"/>
      <c r="Y19" s="1394"/>
      <c r="Z19" s="1394"/>
      <c r="AA19" s="1368" t="s">
        <v>723</v>
      </c>
      <c r="AB19" s="1367" t="s">
        <v>724</v>
      </c>
    </row>
    <row r="20" spans="1:30" ht="69" customHeight="1">
      <c r="A20" s="1366"/>
      <c r="B20" s="1371"/>
      <c r="C20" s="1371"/>
      <c r="D20" s="1371"/>
      <c r="E20" s="1371"/>
      <c r="F20" s="1371" t="s">
        <v>737</v>
      </c>
      <c r="G20" s="1371"/>
      <c r="H20" s="1367"/>
      <c r="I20" s="1368"/>
      <c r="J20" s="1367"/>
      <c r="K20" s="1367"/>
      <c r="L20" s="1371" t="s">
        <v>726</v>
      </c>
      <c r="M20" s="1386">
        <v>5000</v>
      </c>
      <c r="N20" s="1393"/>
      <c r="O20" s="1387"/>
      <c r="P20" s="1387"/>
      <c r="Q20" s="1387"/>
      <c r="R20" s="1387"/>
      <c r="S20" s="1387"/>
      <c r="T20" s="1387"/>
      <c r="U20" s="1387"/>
      <c r="V20" s="1387"/>
      <c r="W20" s="1387"/>
      <c r="X20" s="1387"/>
      <c r="Y20" s="1387"/>
      <c r="Z20" s="1387"/>
      <c r="AA20" s="1374"/>
      <c r="AB20" s="1374"/>
    </row>
    <row r="21" spans="1:30" ht="65.150000000000006" customHeight="1">
      <c r="A21" s="1366"/>
      <c r="B21" s="1371"/>
      <c r="C21" s="1371"/>
      <c r="D21" s="1371"/>
      <c r="E21" s="1371"/>
      <c r="F21" s="1371" t="s">
        <v>738</v>
      </c>
      <c r="G21" s="1371"/>
      <c r="H21" s="1367"/>
      <c r="I21" s="1368"/>
      <c r="J21" s="1367"/>
      <c r="K21" s="1372"/>
      <c r="L21" s="1371" t="s">
        <v>728</v>
      </c>
      <c r="M21" s="1386">
        <v>7000</v>
      </c>
      <c r="N21" s="1393"/>
      <c r="O21" s="1387"/>
      <c r="P21" s="1387"/>
      <c r="Q21" s="1387"/>
      <c r="R21" s="1387"/>
      <c r="S21" s="1387"/>
      <c r="T21" s="1387"/>
      <c r="U21" s="1387"/>
      <c r="V21" s="1387"/>
      <c r="W21" s="1387"/>
      <c r="X21" s="1387"/>
      <c r="Y21" s="1387"/>
      <c r="Z21" s="1387"/>
      <c r="AA21" s="1374"/>
      <c r="AB21" s="1374"/>
    </row>
    <row r="22" spans="1:30" ht="54" customHeight="1">
      <c r="A22" s="1311">
        <v>4</v>
      </c>
      <c r="B22" s="1388">
        <v>13</v>
      </c>
      <c r="C22" s="1388">
        <v>36</v>
      </c>
      <c r="D22" s="1375">
        <v>3</v>
      </c>
      <c r="E22" s="3174" t="s">
        <v>2067</v>
      </c>
      <c r="F22" s="3175"/>
      <c r="G22" s="3176"/>
      <c r="H22" s="1377"/>
      <c r="I22" s="1377"/>
      <c r="J22" s="1377"/>
      <c r="K22" s="1377"/>
      <c r="L22" s="1377"/>
      <c r="M22" s="1453"/>
      <c r="N22" s="1454">
        <f>SUM(M23:M31)</f>
        <v>23520</v>
      </c>
      <c r="O22" s="1453">
        <f>SUM(O23:O31)</f>
        <v>0</v>
      </c>
      <c r="P22" s="1453">
        <f t="shared" ref="P22:Z22" si="3">SUM(P23:P31)</f>
        <v>0</v>
      </c>
      <c r="Q22" s="1453">
        <f t="shared" si="3"/>
        <v>0</v>
      </c>
      <c r="R22" s="1453">
        <f t="shared" si="3"/>
        <v>3920</v>
      </c>
      <c r="S22" s="1453">
        <f t="shared" si="3"/>
        <v>3920</v>
      </c>
      <c r="T22" s="1453">
        <f t="shared" si="3"/>
        <v>3920</v>
      </c>
      <c r="U22" s="1453">
        <f t="shared" si="3"/>
        <v>3920</v>
      </c>
      <c r="V22" s="1453">
        <f t="shared" si="3"/>
        <v>3920</v>
      </c>
      <c r="W22" s="1453">
        <f t="shared" si="3"/>
        <v>3920</v>
      </c>
      <c r="X22" s="1453">
        <f t="shared" si="3"/>
        <v>0</v>
      </c>
      <c r="Y22" s="1453">
        <f t="shared" si="3"/>
        <v>0</v>
      </c>
      <c r="Z22" s="1453">
        <f t="shared" si="3"/>
        <v>0</v>
      </c>
      <c r="AA22" s="1377" t="s">
        <v>2081</v>
      </c>
      <c r="AB22" s="1311" t="s">
        <v>893</v>
      </c>
    </row>
    <row r="23" spans="1:30" ht="139.19999999999999" customHeight="1">
      <c r="A23" s="1366"/>
      <c r="B23" s="1371"/>
      <c r="C23" s="1371"/>
      <c r="D23" s="1372"/>
      <c r="E23" s="1455" t="s">
        <v>2071</v>
      </c>
      <c r="F23" s="1371" t="s">
        <v>2072</v>
      </c>
      <c r="G23" s="1455" t="s">
        <v>739</v>
      </c>
      <c r="H23" s="1371"/>
      <c r="I23" s="1368" t="s">
        <v>721</v>
      </c>
      <c r="J23" s="1368" t="s">
        <v>721</v>
      </c>
      <c r="K23" s="1371"/>
      <c r="L23" s="1455" t="s">
        <v>740</v>
      </c>
      <c r="M23" s="1466">
        <v>7680</v>
      </c>
      <c r="N23" s="1381"/>
      <c r="O23" s="1393"/>
      <c r="P23" s="1393"/>
      <c r="Q23" s="1393"/>
      <c r="R23" s="1393">
        <v>1280</v>
      </c>
      <c r="S23" s="1393">
        <v>1280</v>
      </c>
      <c r="T23" s="1393">
        <v>1280</v>
      </c>
      <c r="U23" s="1393">
        <v>1280</v>
      </c>
      <c r="V23" s="1393">
        <v>1280</v>
      </c>
      <c r="W23" s="1393">
        <v>1280</v>
      </c>
      <c r="X23" s="1393"/>
      <c r="Y23" s="1393"/>
      <c r="Z23" s="1393"/>
      <c r="AA23" s="1368" t="s">
        <v>723</v>
      </c>
      <c r="AB23" s="1367" t="s">
        <v>724</v>
      </c>
    </row>
    <row r="24" spans="1:30" ht="114" customHeight="1">
      <c r="A24" s="1366"/>
      <c r="B24" s="1371"/>
      <c r="C24" s="1371"/>
      <c r="D24" s="1371"/>
      <c r="E24" s="1380" t="s">
        <v>2073</v>
      </c>
      <c r="F24" s="1380" t="s">
        <v>2074</v>
      </c>
      <c r="G24" s="1380" t="s">
        <v>741</v>
      </c>
      <c r="H24" s="1368"/>
      <c r="I24" s="1368" t="s">
        <v>721</v>
      </c>
      <c r="J24" s="1368" t="s">
        <v>721</v>
      </c>
      <c r="K24" s="1368"/>
      <c r="L24" s="1380" t="s">
        <v>742</v>
      </c>
      <c r="M24" s="1381">
        <v>12000</v>
      </c>
      <c r="N24" s="1381"/>
      <c r="O24" s="1381"/>
      <c r="P24" s="1381"/>
      <c r="Q24" s="1381"/>
      <c r="R24" s="1381">
        <v>2000</v>
      </c>
      <c r="S24" s="1381">
        <v>2000</v>
      </c>
      <c r="T24" s="1381">
        <v>2000</v>
      </c>
      <c r="U24" s="1381">
        <v>2000</v>
      </c>
      <c r="V24" s="1381">
        <v>2000</v>
      </c>
      <c r="W24" s="1381">
        <v>2000</v>
      </c>
      <c r="X24" s="1381"/>
      <c r="Y24" s="1381"/>
      <c r="Z24" s="1381"/>
      <c r="AA24" s="1368" t="s">
        <v>723</v>
      </c>
      <c r="AB24" s="1367" t="s">
        <v>724</v>
      </c>
    </row>
    <row r="25" spans="1:30" ht="182.15" customHeight="1">
      <c r="A25" s="1366"/>
      <c r="B25" s="1371"/>
      <c r="C25" s="1371"/>
      <c r="D25" s="1372"/>
      <c r="E25" s="1371" t="s">
        <v>2075</v>
      </c>
      <c r="F25" s="1371" t="s">
        <v>743</v>
      </c>
      <c r="G25" s="1371" t="s">
        <v>744</v>
      </c>
      <c r="H25" s="1367"/>
      <c r="I25" s="1368" t="s">
        <v>721</v>
      </c>
      <c r="J25" s="1368" t="s">
        <v>721</v>
      </c>
      <c r="K25" s="1367"/>
      <c r="L25" s="1455" t="s">
        <v>745</v>
      </c>
      <c r="M25" s="1466">
        <v>3840</v>
      </c>
      <c r="N25" s="1381"/>
      <c r="O25" s="1381"/>
      <c r="P25" s="1381"/>
      <c r="Q25" s="1393"/>
      <c r="R25" s="1393">
        <v>640</v>
      </c>
      <c r="S25" s="1393">
        <v>640</v>
      </c>
      <c r="T25" s="1393">
        <v>640</v>
      </c>
      <c r="U25" s="1393">
        <v>640</v>
      </c>
      <c r="V25" s="1393">
        <v>640</v>
      </c>
      <c r="W25" s="1393">
        <v>640</v>
      </c>
      <c r="X25" s="1393"/>
      <c r="Y25" s="1393"/>
      <c r="Z25" s="1393"/>
      <c r="AA25" s="1368" t="s">
        <v>723</v>
      </c>
      <c r="AB25" s="1367" t="s">
        <v>724</v>
      </c>
    </row>
    <row r="26" spans="1:30" ht="109.3" customHeight="1">
      <c r="A26" s="1366"/>
      <c r="B26" s="1371"/>
      <c r="C26" s="1371"/>
      <c r="D26" s="1371"/>
      <c r="E26" s="1392" t="s">
        <v>746</v>
      </c>
      <c r="F26" s="1372" t="s">
        <v>747</v>
      </c>
      <c r="G26" s="1372" t="s">
        <v>748</v>
      </c>
      <c r="H26" s="1368" t="s">
        <v>721</v>
      </c>
      <c r="I26" s="1368" t="s">
        <v>721</v>
      </c>
      <c r="J26" s="1368" t="s">
        <v>721</v>
      </c>
      <c r="K26" s="1368" t="s">
        <v>721</v>
      </c>
      <c r="L26" s="1372" t="s">
        <v>2076</v>
      </c>
      <c r="M26" s="1393"/>
      <c r="N26" s="1393"/>
      <c r="O26" s="1394"/>
      <c r="P26" s="1394"/>
      <c r="Q26" s="1394"/>
      <c r="R26" s="1394"/>
      <c r="S26" s="1394"/>
      <c r="T26" s="1394"/>
      <c r="U26" s="1394"/>
      <c r="V26" s="1394"/>
      <c r="W26" s="1394"/>
      <c r="X26" s="1394"/>
      <c r="Y26" s="1394"/>
      <c r="Z26" s="1394"/>
      <c r="AA26" s="1368" t="s">
        <v>723</v>
      </c>
      <c r="AB26" s="1366" t="s">
        <v>749</v>
      </c>
      <c r="AD26" s="1349">
        <v>7800</v>
      </c>
    </row>
    <row r="27" spans="1:30" ht="113.6" customHeight="1">
      <c r="A27" s="1366"/>
      <c r="B27" s="1371"/>
      <c r="C27" s="1371"/>
      <c r="D27" s="1371"/>
      <c r="E27" s="1371" t="s">
        <v>750</v>
      </c>
      <c r="F27" s="1371" t="s">
        <v>751</v>
      </c>
      <c r="G27" s="1371" t="s">
        <v>752</v>
      </c>
      <c r="H27" s="1368" t="s">
        <v>721</v>
      </c>
      <c r="I27" s="1368" t="s">
        <v>721</v>
      </c>
      <c r="J27" s="1368" t="s">
        <v>721</v>
      </c>
      <c r="K27" s="1368" t="s">
        <v>721</v>
      </c>
      <c r="L27" s="1371"/>
      <c r="M27" s="1386"/>
      <c r="N27" s="1393"/>
      <c r="O27" s="1387"/>
      <c r="P27" s="1387"/>
      <c r="Q27" s="1387"/>
      <c r="R27" s="1387"/>
      <c r="S27" s="1387"/>
      <c r="T27" s="1387"/>
      <c r="U27" s="1387"/>
      <c r="V27" s="1387"/>
      <c r="W27" s="1387"/>
      <c r="X27" s="1387"/>
      <c r="Y27" s="1387"/>
      <c r="Z27" s="1387"/>
      <c r="AA27" s="1373" t="s">
        <v>723</v>
      </c>
      <c r="AB27" s="1374" t="s">
        <v>724</v>
      </c>
    </row>
    <row r="28" spans="1:30" ht="96.45" customHeight="1">
      <c r="A28" s="1366"/>
      <c r="B28" s="1371"/>
      <c r="C28" s="1371"/>
      <c r="D28" s="1371"/>
      <c r="E28" s="1371"/>
      <c r="F28" s="1371" t="s">
        <v>753</v>
      </c>
      <c r="G28" s="1371"/>
      <c r="H28" s="1368"/>
      <c r="I28" s="1368"/>
      <c r="J28" s="1368"/>
      <c r="K28" s="1368"/>
      <c r="L28" s="1371"/>
      <c r="M28" s="1386"/>
      <c r="N28" s="1393"/>
      <c r="O28" s="1387"/>
      <c r="P28" s="1387"/>
      <c r="Q28" s="1387"/>
      <c r="R28" s="1387"/>
      <c r="S28" s="1387"/>
      <c r="T28" s="1387"/>
      <c r="U28" s="1387"/>
      <c r="V28" s="1387"/>
      <c r="W28" s="1387"/>
      <c r="X28" s="1387"/>
      <c r="Y28" s="1387"/>
      <c r="Z28" s="1387"/>
      <c r="AA28" s="1373"/>
      <c r="AB28" s="1374"/>
    </row>
    <row r="29" spans="1:30" ht="156.44999999999999" customHeight="1">
      <c r="A29" s="1366"/>
      <c r="B29" s="1371"/>
      <c r="C29" s="1371"/>
      <c r="D29" s="1371"/>
      <c r="E29" s="1371" t="s">
        <v>754</v>
      </c>
      <c r="F29" s="1371" t="s">
        <v>755</v>
      </c>
      <c r="G29" s="1371" t="s">
        <v>756</v>
      </c>
      <c r="H29" s="1368" t="s">
        <v>721</v>
      </c>
      <c r="I29" s="1368" t="s">
        <v>721</v>
      </c>
      <c r="J29" s="1368" t="s">
        <v>721</v>
      </c>
      <c r="K29" s="1368" t="s">
        <v>721</v>
      </c>
      <c r="L29" s="1371"/>
      <c r="M29" s="1386"/>
      <c r="N29" s="1393"/>
      <c r="O29" s="1387"/>
      <c r="P29" s="1387"/>
      <c r="Q29" s="1387"/>
      <c r="R29" s="1387"/>
      <c r="S29" s="1387"/>
      <c r="T29" s="1387"/>
      <c r="U29" s="1387"/>
      <c r="V29" s="1387"/>
      <c r="W29" s="1387"/>
      <c r="X29" s="1387"/>
      <c r="Y29" s="1387"/>
      <c r="Z29" s="1387"/>
      <c r="AA29" s="1373" t="s">
        <v>723</v>
      </c>
      <c r="AB29" s="1374" t="s">
        <v>724</v>
      </c>
    </row>
    <row r="30" spans="1:30" ht="112.85" customHeight="1">
      <c r="A30" s="1366"/>
      <c r="B30" s="1371"/>
      <c r="C30" s="1371"/>
      <c r="D30" s="1371"/>
      <c r="E30" s="1371"/>
      <c r="F30" s="1371" t="s">
        <v>757</v>
      </c>
      <c r="G30" s="1371"/>
      <c r="H30" s="1368"/>
      <c r="I30" s="1368"/>
      <c r="J30" s="1368"/>
      <c r="K30" s="1368"/>
      <c r="L30" s="1371"/>
      <c r="M30" s="1386"/>
      <c r="N30" s="1393"/>
      <c r="O30" s="1387"/>
      <c r="P30" s="1387"/>
      <c r="Q30" s="1387"/>
      <c r="R30" s="1387"/>
      <c r="S30" s="1387"/>
      <c r="T30" s="1387"/>
      <c r="U30" s="1387"/>
      <c r="V30" s="1387"/>
      <c r="W30" s="1387"/>
      <c r="X30" s="1387"/>
      <c r="Y30" s="1387"/>
      <c r="Z30" s="1387"/>
      <c r="AA30" s="1373"/>
      <c r="AB30" s="1374"/>
    </row>
    <row r="31" spans="1:30" ht="41.15" customHeight="1">
      <c r="A31" s="1366"/>
      <c r="B31" s="1371"/>
      <c r="C31" s="1371"/>
      <c r="D31" s="1371">
        <v>2</v>
      </c>
      <c r="E31" s="3198" t="s">
        <v>758</v>
      </c>
      <c r="F31" s="3199"/>
      <c r="G31" s="3200"/>
      <c r="H31" s="1368"/>
      <c r="I31" s="1368"/>
      <c r="J31" s="1368"/>
      <c r="K31" s="1368"/>
      <c r="L31" s="1371"/>
      <c r="M31" s="1386"/>
      <c r="N31" s="1393"/>
      <c r="O31" s="1387"/>
      <c r="P31" s="1387"/>
      <c r="Q31" s="1387"/>
      <c r="R31" s="1387"/>
      <c r="S31" s="1387"/>
      <c r="T31" s="1387"/>
      <c r="U31" s="1387"/>
      <c r="V31" s="1387"/>
      <c r="W31" s="1387"/>
      <c r="X31" s="1387"/>
      <c r="Y31" s="1387"/>
      <c r="Z31" s="1387"/>
      <c r="AA31" s="1373"/>
      <c r="AB31" s="1374"/>
    </row>
    <row r="32" spans="1:30" ht="48.9" customHeight="1">
      <c r="A32" s="1311">
        <v>4</v>
      </c>
      <c r="B32" s="1388">
        <v>13</v>
      </c>
      <c r="C32" s="1388">
        <v>36</v>
      </c>
      <c r="D32" s="1388">
        <v>4</v>
      </c>
      <c r="E32" s="1379" t="s">
        <v>759</v>
      </c>
      <c r="F32" s="1463"/>
      <c r="G32" s="1464"/>
      <c r="H32" s="1377"/>
      <c r="I32" s="1377"/>
      <c r="J32" s="1377"/>
      <c r="K32" s="1377"/>
      <c r="L32" s="1388"/>
      <c r="M32" s="1389"/>
      <c r="N32" s="1390">
        <f>SUM(M33:M35)</f>
        <v>15600</v>
      </c>
      <c r="O32" s="1391">
        <f>SUM(O33:O35)</f>
        <v>0</v>
      </c>
      <c r="P32" s="1391">
        <f t="shared" ref="P32:Z32" si="4">SUM(P33:P35)</f>
        <v>0</v>
      </c>
      <c r="Q32" s="1391">
        <f t="shared" si="4"/>
        <v>0</v>
      </c>
      <c r="R32" s="1391">
        <f t="shared" si="4"/>
        <v>0</v>
      </c>
      <c r="S32" s="1391">
        <f t="shared" si="4"/>
        <v>0</v>
      </c>
      <c r="T32" s="1391">
        <f t="shared" si="4"/>
        <v>15600</v>
      </c>
      <c r="U32" s="1391">
        <f t="shared" si="4"/>
        <v>0</v>
      </c>
      <c r="V32" s="1391">
        <f t="shared" si="4"/>
        <v>0</v>
      </c>
      <c r="W32" s="1391">
        <f t="shared" si="4"/>
        <v>0</v>
      </c>
      <c r="X32" s="1391">
        <f t="shared" si="4"/>
        <v>0</v>
      </c>
      <c r="Y32" s="1391">
        <f t="shared" si="4"/>
        <v>0</v>
      </c>
      <c r="Z32" s="1391">
        <f t="shared" si="4"/>
        <v>0</v>
      </c>
      <c r="AA32" s="1377" t="s">
        <v>2081</v>
      </c>
      <c r="AB32" s="1379" t="s">
        <v>831</v>
      </c>
    </row>
    <row r="33" spans="1:30" ht="129" customHeight="1">
      <c r="A33" s="1366"/>
      <c r="B33" s="1371"/>
      <c r="C33" s="1371"/>
      <c r="D33" s="1371"/>
      <c r="E33" s="1349"/>
      <c r="F33" s="1371" t="s">
        <v>760</v>
      </c>
      <c r="G33" s="1371" t="s">
        <v>761</v>
      </c>
      <c r="H33" s="1367"/>
      <c r="I33" s="1368"/>
      <c r="J33" s="1368" t="s">
        <v>721</v>
      </c>
      <c r="K33" s="1368"/>
      <c r="L33" s="1371" t="s">
        <v>722</v>
      </c>
      <c r="M33" s="1386">
        <v>3600</v>
      </c>
      <c r="N33" s="1394"/>
      <c r="O33" s="1394"/>
      <c r="P33" s="1394"/>
      <c r="Q33" s="1394"/>
      <c r="R33" s="1394"/>
      <c r="S33" s="1394"/>
      <c r="T33" s="1394">
        <v>15600</v>
      </c>
      <c r="U33" s="1394"/>
      <c r="V33" s="1394"/>
      <c r="W33" s="1394"/>
      <c r="X33" s="1394"/>
      <c r="Y33" s="1394"/>
      <c r="Z33" s="1394"/>
      <c r="AA33" s="1368" t="s">
        <v>723</v>
      </c>
      <c r="AB33" s="1371" t="s">
        <v>762</v>
      </c>
      <c r="AD33" s="1349">
        <v>15600</v>
      </c>
    </row>
    <row r="34" spans="1:30" ht="113.15" customHeight="1">
      <c r="A34" s="1366"/>
      <c r="B34" s="1371"/>
      <c r="C34" s="1371"/>
      <c r="D34" s="1372"/>
      <c r="E34" s="1371"/>
      <c r="F34" s="1371" t="s">
        <v>763</v>
      </c>
      <c r="G34" s="1371"/>
      <c r="H34" s="1371"/>
      <c r="I34" s="1371"/>
      <c r="J34" s="1371"/>
      <c r="K34" s="1371"/>
      <c r="L34" s="1371" t="s">
        <v>726</v>
      </c>
      <c r="M34" s="1386">
        <v>5000</v>
      </c>
      <c r="N34" s="1393"/>
      <c r="O34" s="1384"/>
      <c r="P34" s="1384"/>
      <c r="Q34" s="1384"/>
      <c r="R34" s="1384"/>
      <c r="S34" s="1384"/>
      <c r="T34" s="1384"/>
      <c r="U34" s="1384"/>
      <c r="V34" s="1384"/>
      <c r="W34" s="1384"/>
      <c r="X34" s="1384"/>
      <c r="Y34" s="1384"/>
      <c r="Z34" s="1384"/>
      <c r="AA34" s="1395"/>
      <c r="AB34" s="1374"/>
    </row>
    <row r="35" spans="1:30" ht="63.9" customHeight="1">
      <c r="A35" s="1366"/>
      <c r="B35" s="1371"/>
      <c r="C35" s="1371"/>
      <c r="D35" s="1371"/>
      <c r="E35" s="1371"/>
      <c r="F35" s="1371"/>
      <c r="G35" s="1371"/>
      <c r="H35" s="1371"/>
      <c r="I35" s="1371"/>
      <c r="J35" s="1371"/>
      <c r="K35" s="1371"/>
      <c r="L35" s="1371" t="s">
        <v>728</v>
      </c>
      <c r="M35" s="1386">
        <v>7000</v>
      </c>
      <c r="N35" s="1393"/>
      <c r="O35" s="1384"/>
      <c r="P35" s="1384"/>
      <c r="Q35" s="1384"/>
      <c r="R35" s="1384"/>
      <c r="S35" s="1384"/>
      <c r="T35" s="1384"/>
      <c r="U35" s="1384"/>
      <c r="V35" s="1384"/>
      <c r="W35" s="1384"/>
      <c r="X35" s="1384"/>
      <c r="Y35" s="1384"/>
      <c r="Z35" s="1384"/>
      <c r="AA35" s="1395"/>
      <c r="AB35" s="1374"/>
    </row>
    <row r="36" spans="1:30" ht="34.950000000000003" customHeight="1">
      <c r="A36" s="1311">
        <v>4</v>
      </c>
      <c r="B36" s="1379">
        <v>13</v>
      </c>
      <c r="C36" s="1379">
        <v>36</v>
      </c>
      <c r="D36" s="1311">
        <v>5</v>
      </c>
      <c r="E36" s="3174" t="s">
        <v>764</v>
      </c>
      <c r="F36" s="3175"/>
      <c r="G36" s="3176"/>
      <c r="H36" s="1377"/>
      <c r="I36" s="1377"/>
      <c r="J36" s="1377"/>
      <c r="K36" s="1377"/>
      <c r="L36" s="1377"/>
      <c r="M36" s="1453"/>
      <c r="N36" s="1412">
        <f>SUM(M37:M44)</f>
        <v>74400</v>
      </c>
      <c r="O36" s="1453">
        <f>SUM(O37:O44)</f>
        <v>0</v>
      </c>
      <c r="P36" s="1453">
        <f t="shared" ref="P36:Z36" si="5">SUM(P37:P44)</f>
        <v>0</v>
      </c>
      <c r="Q36" s="1453">
        <f t="shared" si="5"/>
        <v>0</v>
      </c>
      <c r="R36" s="1453">
        <f t="shared" si="5"/>
        <v>32400</v>
      </c>
      <c r="S36" s="1453">
        <f t="shared" si="5"/>
        <v>0</v>
      </c>
      <c r="T36" s="1453">
        <f t="shared" si="5"/>
        <v>0</v>
      </c>
      <c r="U36" s="1453">
        <f t="shared" si="5"/>
        <v>0</v>
      </c>
      <c r="V36" s="1453">
        <f t="shared" si="5"/>
        <v>0</v>
      </c>
      <c r="W36" s="1453">
        <f t="shared" si="5"/>
        <v>0</v>
      </c>
      <c r="X36" s="1453">
        <f t="shared" si="5"/>
        <v>0</v>
      </c>
      <c r="Y36" s="1453">
        <f t="shared" si="5"/>
        <v>0</v>
      </c>
      <c r="Z36" s="1453">
        <f t="shared" si="5"/>
        <v>42000</v>
      </c>
      <c r="AA36" s="1377" t="s">
        <v>2081</v>
      </c>
      <c r="AB36" s="1311" t="s">
        <v>893</v>
      </c>
    </row>
    <row r="37" spans="1:30" ht="106.75" customHeight="1">
      <c r="A37" s="1366"/>
      <c r="B37" s="1367">
        <v>13</v>
      </c>
      <c r="C37" s="1367">
        <v>36</v>
      </c>
      <c r="D37" s="1367"/>
      <c r="E37" s="1467" t="s">
        <v>765</v>
      </c>
      <c r="F37" s="1467" t="s">
        <v>766</v>
      </c>
      <c r="G37" s="1468" t="s">
        <v>767</v>
      </c>
      <c r="H37" s="1468"/>
      <c r="I37" s="1469" t="s">
        <v>768</v>
      </c>
      <c r="J37" s="1468"/>
      <c r="K37" s="1468"/>
      <c r="L37" s="1467" t="s">
        <v>769</v>
      </c>
      <c r="M37" s="1470">
        <f>50*270</f>
        <v>13500</v>
      </c>
      <c r="N37" s="3201"/>
      <c r="O37" s="1471"/>
      <c r="P37" s="1471"/>
      <c r="Q37" s="1472"/>
      <c r="R37" s="1471">
        <f>+M37+M38+M39</f>
        <v>32400</v>
      </c>
      <c r="S37" s="1471"/>
      <c r="T37" s="1471"/>
      <c r="U37" s="1471"/>
      <c r="V37" s="1471"/>
      <c r="W37" s="1471"/>
      <c r="X37" s="1471"/>
      <c r="Y37" s="1471"/>
      <c r="Z37" s="1471"/>
      <c r="AA37" s="1467" t="s">
        <v>770</v>
      </c>
      <c r="AB37" s="1473" t="s">
        <v>771</v>
      </c>
    </row>
    <row r="38" spans="1:30" ht="60.45" customHeight="1">
      <c r="A38" s="1366"/>
      <c r="B38" s="1367"/>
      <c r="C38" s="1367"/>
      <c r="D38" s="1396"/>
      <c r="E38" s="1397"/>
      <c r="F38" s="1397"/>
      <c r="G38" s="1398"/>
      <c r="H38" s="1399"/>
      <c r="I38" s="1399"/>
      <c r="J38" s="1399"/>
      <c r="K38" s="1399"/>
      <c r="L38" s="1400" t="s">
        <v>772</v>
      </c>
      <c r="M38" s="1401">
        <f>70*270</f>
        <v>18900</v>
      </c>
      <c r="N38" s="3202"/>
      <c r="O38" s="1402"/>
      <c r="P38" s="1402"/>
      <c r="Q38" s="1402"/>
      <c r="R38" s="1402"/>
      <c r="S38" s="1402"/>
      <c r="T38" s="1402"/>
      <c r="U38" s="1402"/>
      <c r="V38" s="1402"/>
      <c r="W38" s="1402"/>
      <c r="X38" s="1402"/>
      <c r="Y38" s="1402"/>
      <c r="Z38" s="1402"/>
      <c r="AA38" s="1399"/>
      <c r="AB38" s="1403"/>
    </row>
    <row r="39" spans="1:30" ht="56.15" customHeight="1">
      <c r="A39" s="1366"/>
      <c r="B39" s="1367"/>
      <c r="C39" s="1367"/>
      <c r="D39" s="1374"/>
      <c r="E39" s="1404"/>
      <c r="F39" s="1405"/>
      <c r="G39" s="1405"/>
      <c r="H39" s="1405"/>
      <c r="I39" s="1405"/>
      <c r="J39" s="1405"/>
      <c r="K39" s="1405"/>
      <c r="L39" s="1406"/>
      <c r="M39" s="1407"/>
      <c r="N39" s="3203"/>
      <c r="O39" s="1403"/>
      <c r="P39" s="1403"/>
      <c r="Q39" s="1403"/>
      <c r="R39" s="1403"/>
      <c r="S39" s="1403"/>
      <c r="T39" s="1403"/>
      <c r="U39" s="1403"/>
      <c r="V39" s="1403"/>
      <c r="W39" s="1403"/>
      <c r="X39" s="1403"/>
      <c r="Y39" s="1403"/>
      <c r="Z39" s="1403"/>
      <c r="AA39" s="1403"/>
      <c r="AB39" s="1403"/>
    </row>
    <row r="40" spans="1:30" ht="82.85" customHeight="1">
      <c r="A40" s="1366"/>
      <c r="B40" s="1367"/>
      <c r="C40" s="1367"/>
      <c r="D40" s="1374"/>
      <c r="E40" s="439" t="s">
        <v>773</v>
      </c>
      <c r="F40" s="439" t="s">
        <v>774</v>
      </c>
      <c r="G40" s="440" t="s">
        <v>775</v>
      </c>
      <c r="H40" s="1373"/>
      <c r="I40" s="1373"/>
      <c r="J40" s="1373"/>
      <c r="K40" s="1373"/>
      <c r="L40" s="1408" t="s">
        <v>776</v>
      </c>
      <c r="M40" s="1409"/>
      <c r="N40" s="1478"/>
      <c r="O40" s="1410"/>
      <c r="P40" s="1410"/>
      <c r="Q40" s="1410"/>
      <c r="R40" s="1410"/>
      <c r="S40" s="1410"/>
      <c r="T40" s="1410"/>
      <c r="U40" s="1410"/>
      <c r="V40" s="1410"/>
      <c r="W40" s="1410"/>
      <c r="X40" s="1410"/>
      <c r="Y40" s="1410"/>
      <c r="Z40" s="1410"/>
      <c r="AA40" s="1374"/>
      <c r="AB40" s="1374"/>
    </row>
    <row r="41" spans="1:30" ht="97.85" customHeight="1">
      <c r="A41" s="1366"/>
      <c r="B41" s="1367"/>
      <c r="C41" s="1367"/>
      <c r="D41" s="1374"/>
      <c r="E41" s="439" t="s">
        <v>777</v>
      </c>
      <c r="F41" s="439" t="s">
        <v>778</v>
      </c>
      <c r="G41" s="440" t="s">
        <v>779</v>
      </c>
      <c r="H41" s="1411"/>
      <c r="I41" s="1373"/>
      <c r="J41" s="1374"/>
      <c r="K41" s="1373"/>
      <c r="L41" s="1374" t="s">
        <v>780</v>
      </c>
      <c r="M41" s="1409"/>
      <c r="N41" s="1478"/>
      <c r="O41" s="1410"/>
      <c r="P41" s="1410"/>
      <c r="Q41" s="1410"/>
      <c r="R41" s="1410"/>
      <c r="S41" s="1410"/>
      <c r="T41" s="1410"/>
      <c r="U41" s="1410"/>
      <c r="V41" s="1410"/>
      <c r="W41" s="1410"/>
      <c r="X41" s="1410"/>
      <c r="Y41" s="1410"/>
      <c r="Z41" s="1410"/>
      <c r="AA41" s="1374"/>
      <c r="AB41" s="1374"/>
    </row>
    <row r="42" spans="1:30" ht="66.650000000000006" customHeight="1">
      <c r="A42" s="1366"/>
      <c r="B42" s="1367"/>
      <c r="C42" s="1367"/>
      <c r="D42" s="1367"/>
      <c r="E42" s="1380" t="s">
        <v>781</v>
      </c>
      <c r="F42" s="1380" t="s">
        <v>782</v>
      </c>
      <c r="G42" s="1380" t="s">
        <v>767</v>
      </c>
      <c r="H42" s="1413"/>
      <c r="I42" s="1413"/>
      <c r="J42" s="1413"/>
      <c r="K42" s="1413" t="s">
        <v>768</v>
      </c>
      <c r="L42" s="1380" t="s">
        <v>2077</v>
      </c>
      <c r="M42" s="1414">
        <f>50*350</f>
        <v>17500</v>
      </c>
      <c r="N42" s="1474"/>
      <c r="O42" s="1475"/>
      <c r="P42" s="1475"/>
      <c r="Q42" s="1475"/>
      <c r="R42" s="1476"/>
      <c r="S42" s="1476"/>
      <c r="T42" s="1476"/>
      <c r="U42" s="1476"/>
      <c r="V42" s="1476"/>
      <c r="W42" s="1476"/>
      <c r="X42" s="1476"/>
      <c r="Y42" s="1476"/>
      <c r="Z42" s="1475">
        <f>+M42+M43</f>
        <v>42000</v>
      </c>
      <c r="AA42" s="1380" t="s">
        <v>770</v>
      </c>
      <c r="AB42" s="1476" t="s">
        <v>771</v>
      </c>
    </row>
    <row r="43" spans="1:30" ht="34.950000000000003" customHeight="1">
      <c r="A43" s="1366"/>
      <c r="B43" s="1367"/>
      <c r="C43" s="1367"/>
      <c r="D43" s="1366"/>
      <c r="E43" s="1380"/>
      <c r="F43" s="1380"/>
      <c r="G43" s="1368"/>
      <c r="H43" s="1413"/>
      <c r="I43" s="1368"/>
      <c r="J43" s="1368"/>
      <c r="K43" s="1368"/>
      <c r="L43" s="1380" t="s">
        <v>2078</v>
      </c>
      <c r="M43" s="1414">
        <f>70*350</f>
        <v>24500</v>
      </c>
      <c r="N43" s="1474"/>
      <c r="O43" s="1415"/>
      <c r="P43" s="1415"/>
      <c r="Q43" s="1416"/>
      <c r="R43" s="1415"/>
      <c r="S43" s="1415"/>
      <c r="T43" s="1415"/>
      <c r="U43" s="1415"/>
      <c r="V43" s="1415"/>
      <c r="W43" s="1415"/>
      <c r="X43" s="1415"/>
      <c r="Y43" s="1415"/>
      <c r="Z43" s="1415"/>
      <c r="AA43" s="1417"/>
      <c r="AB43" s="1373"/>
    </row>
    <row r="44" spans="1:30" s="1356" customFormat="1" ht="39.9" customHeight="1">
      <c r="A44" s="1311"/>
      <c r="B44" s="1388"/>
      <c r="C44" s="1388"/>
      <c r="D44" s="1375"/>
      <c r="E44" s="3204" t="s">
        <v>783</v>
      </c>
      <c r="F44" s="3205"/>
      <c r="G44" s="3206"/>
      <c r="H44" s="1373"/>
      <c r="I44" s="1373"/>
      <c r="J44" s="1373"/>
      <c r="K44" s="1373"/>
      <c r="L44" s="1417"/>
      <c r="M44" s="1382"/>
      <c r="N44" s="1381"/>
      <c r="O44" s="1384"/>
      <c r="P44" s="1384"/>
      <c r="Q44" s="1384"/>
      <c r="R44" s="1384"/>
      <c r="S44" s="1384"/>
      <c r="T44" s="1384"/>
      <c r="U44" s="1384"/>
      <c r="V44" s="1384"/>
      <c r="W44" s="1384"/>
      <c r="X44" s="1384"/>
      <c r="Y44" s="1384"/>
      <c r="Z44" s="1384"/>
      <c r="AA44" s="1373"/>
      <c r="AB44" s="1374"/>
    </row>
    <row r="45" spans="1:30" s="1356" customFormat="1" ht="30" customHeight="1">
      <c r="A45" s="1311">
        <v>4</v>
      </c>
      <c r="B45" s="1388">
        <v>13</v>
      </c>
      <c r="C45" s="1388">
        <v>36</v>
      </c>
      <c r="D45" s="1375">
        <v>6</v>
      </c>
      <c r="E45" s="1456" t="s">
        <v>2082</v>
      </c>
      <c r="F45" s="1457"/>
      <c r="G45" s="1458"/>
      <c r="H45" s="1377"/>
      <c r="I45" s="1377"/>
      <c r="J45" s="1377"/>
      <c r="K45" s="1377"/>
      <c r="L45" s="1376"/>
      <c r="M45" s="1378"/>
      <c r="N45" s="1378">
        <f>SUM(M46:M50)</f>
        <v>164000</v>
      </c>
      <c r="O45" s="1390">
        <f>SUM(O46:O50)</f>
        <v>0</v>
      </c>
      <c r="P45" s="1390">
        <f t="shared" ref="P45:Z45" si="6">SUM(P46:P50)</f>
        <v>0</v>
      </c>
      <c r="Q45" s="1390">
        <f t="shared" si="6"/>
        <v>164000</v>
      </c>
      <c r="R45" s="1390">
        <f t="shared" si="6"/>
        <v>0</v>
      </c>
      <c r="S45" s="1390">
        <f t="shared" si="6"/>
        <v>0</v>
      </c>
      <c r="T45" s="1390">
        <f t="shared" si="6"/>
        <v>0</v>
      </c>
      <c r="U45" s="1390">
        <f t="shared" si="6"/>
        <v>0</v>
      </c>
      <c r="V45" s="1390">
        <f t="shared" si="6"/>
        <v>0</v>
      </c>
      <c r="W45" s="1390">
        <f t="shared" si="6"/>
        <v>0</v>
      </c>
      <c r="X45" s="1390">
        <f t="shared" si="6"/>
        <v>0</v>
      </c>
      <c r="Y45" s="1390">
        <f t="shared" si="6"/>
        <v>0</v>
      </c>
      <c r="Z45" s="1390">
        <f t="shared" si="6"/>
        <v>0</v>
      </c>
      <c r="AA45" s="1377" t="s">
        <v>2081</v>
      </c>
      <c r="AB45" s="1311" t="s">
        <v>2620</v>
      </c>
    </row>
    <row r="46" spans="1:30" ht="193.2" customHeight="1">
      <c r="A46" s="1366"/>
      <c r="B46" s="1371"/>
      <c r="C46" s="1371"/>
      <c r="D46" s="1372"/>
      <c r="E46" s="1392"/>
      <c r="F46" s="1392" t="s">
        <v>784</v>
      </c>
      <c r="G46" s="1392" t="s">
        <v>785</v>
      </c>
      <c r="H46" s="1372" t="s">
        <v>239</v>
      </c>
      <c r="I46" s="1372"/>
      <c r="J46" s="1372"/>
      <c r="K46" s="1372"/>
      <c r="L46" s="1392" t="s">
        <v>786</v>
      </c>
      <c r="M46" s="1393">
        <v>28750</v>
      </c>
      <c r="N46" s="1393"/>
      <c r="O46" s="1393"/>
      <c r="P46" s="1393"/>
      <c r="Q46" s="1393">
        <v>164000</v>
      </c>
      <c r="R46" s="1393"/>
      <c r="S46" s="1393"/>
      <c r="T46" s="1393"/>
      <c r="U46" s="1393"/>
      <c r="V46" s="1393"/>
      <c r="W46" s="1393"/>
      <c r="X46" s="1393"/>
      <c r="Y46" s="1393"/>
      <c r="Z46" s="1393"/>
      <c r="AA46" s="1372" t="s">
        <v>787</v>
      </c>
      <c r="AB46" s="1371" t="s">
        <v>788</v>
      </c>
      <c r="AC46" s="1351" t="s">
        <v>789</v>
      </c>
      <c r="AD46" s="1349">
        <v>164000</v>
      </c>
    </row>
    <row r="47" spans="1:30" s="1356" customFormat="1" ht="154.4" customHeight="1">
      <c r="A47" s="1396"/>
      <c r="B47" s="1395"/>
      <c r="C47" s="1395"/>
      <c r="D47" s="1395"/>
      <c r="E47" s="1419"/>
      <c r="F47" s="1419" t="s">
        <v>790</v>
      </c>
      <c r="G47" s="1419"/>
      <c r="H47" s="1411"/>
      <c r="I47" s="1411"/>
      <c r="J47" s="1411"/>
      <c r="K47" s="1411"/>
      <c r="L47" s="1419" t="s">
        <v>791</v>
      </c>
      <c r="M47" s="1384">
        <v>40250</v>
      </c>
      <c r="N47" s="1393"/>
      <c r="O47" s="1384"/>
      <c r="P47" s="1384"/>
      <c r="Q47" s="1384"/>
      <c r="R47" s="1384"/>
      <c r="S47" s="1384"/>
      <c r="T47" s="1384"/>
      <c r="U47" s="1384"/>
      <c r="V47" s="1384"/>
      <c r="W47" s="1384"/>
      <c r="X47" s="1384"/>
      <c r="Y47" s="1384"/>
      <c r="Z47" s="1384"/>
      <c r="AA47" s="1411"/>
      <c r="AB47" s="1395"/>
    </row>
    <row r="48" spans="1:30" s="1356" customFormat="1" ht="92.15" customHeight="1">
      <c r="A48" s="1396"/>
      <c r="B48" s="1395"/>
      <c r="C48" s="1395"/>
      <c r="D48" s="1411"/>
      <c r="E48" s="1395"/>
      <c r="F48" s="1395" t="s">
        <v>792</v>
      </c>
      <c r="G48" s="1395"/>
      <c r="H48" s="1374"/>
      <c r="I48" s="1411"/>
      <c r="J48" s="1374"/>
      <c r="K48" s="1374"/>
      <c r="L48" s="1419" t="s">
        <v>793</v>
      </c>
      <c r="M48" s="1420">
        <v>75000</v>
      </c>
      <c r="N48" s="1393"/>
      <c r="O48" s="1384"/>
      <c r="P48" s="1384"/>
      <c r="Q48" s="1384"/>
      <c r="R48" s="1384"/>
      <c r="S48" s="1421"/>
      <c r="T48" s="1421"/>
      <c r="U48" s="1384"/>
      <c r="V48" s="1384"/>
      <c r="W48" s="1384"/>
      <c r="X48" s="1384"/>
      <c r="Y48" s="1384"/>
      <c r="Z48" s="1384"/>
      <c r="AA48" s="1411"/>
      <c r="AB48" s="1395"/>
    </row>
    <row r="49" spans="1:30" s="1356" customFormat="1" ht="37.299999999999997" customHeight="1">
      <c r="A49" s="1396"/>
      <c r="B49" s="1395"/>
      <c r="C49" s="1395"/>
      <c r="D49" s="1395"/>
      <c r="E49" s="1395"/>
      <c r="F49" s="1395"/>
      <c r="G49" s="1395"/>
      <c r="H49" s="1411"/>
      <c r="I49" s="1374"/>
      <c r="J49" s="1374"/>
      <c r="K49" s="1374"/>
      <c r="L49" s="1419" t="s">
        <v>794</v>
      </c>
      <c r="M49" s="1422">
        <v>5000</v>
      </c>
      <c r="N49" s="1393"/>
      <c r="O49" s="1387"/>
      <c r="P49" s="1387"/>
      <c r="Q49" s="1387"/>
      <c r="R49" s="1387"/>
      <c r="S49" s="1387"/>
      <c r="T49" s="1387"/>
      <c r="U49" s="1387"/>
      <c r="V49" s="1387"/>
      <c r="W49" s="1387"/>
      <c r="X49" s="1387"/>
      <c r="Y49" s="1387"/>
      <c r="Z49" s="1387"/>
      <c r="AA49" s="1374"/>
      <c r="AB49" s="1395"/>
    </row>
    <row r="50" spans="1:30" s="1356" customFormat="1" ht="49.3" customHeight="1">
      <c r="A50" s="1396"/>
      <c r="B50" s="1395"/>
      <c r="C50" s="1395"/>
      <c r="D50" s="1395"/>
      <c r="E50" s="1395"/>
      <c r="F50" s="1395"/>
      <c r="G50" s="1395"/>
      <c r="H50" s="1411"/>
      <c r="I50" s="1411"/>
      <c r="J50" s="1411"/>
      <c r="K50" s="1411"/>
      <c r="L50" s="1419" t="s">
        <v>795</v>
      </c>
      <c r="M50" s="1422">
        <v>15000</v>
      </c>
      <c r="N50" s="1393"/>
      <c r="O50" s="1387"/>
      <c r="P50" s="1387"/>
      <c r="Q50" s="1387"/>
      <c r="R50" s="1387"/>
      <c r="S50" s="1387"/>
      <c r="T50" s="1387"/>
      <c r="U50" s="1387"/>
      <c r="V50" s="1387"/>
      <c r="W50" s="1387"/>
      <c r="X50" s="1387"/>
      <c r="Y50" s="1387"/>
      <c r="Z50" s="1387"/>
      <c r="AA50" s="1374"/>
      <c r="AB50" s="1395"/>
    </row>
    <row r="51" spans="1:30" s="1356" customFormat="1" ht="25.75" customHeight="1">
      <c r="A51" s="1311">
        <v>4</v>
      </c>
      <c r="B51" s="1388">
        <v>13</v>
      </c>
      <c r="C51" s="1388">
        <v>37</v>
      </c>
      <c r="D51" s="1388">
        <v>7</v>
      </c>
      <c r="E51" s="1459" t="s">
        <v>796</v>
      </c>
      <c r="F51" s="1461"/>
      <c r="G51" s="1461"/>
      <c r="H51" s="1375"/>
      <c r="I51" s="1375"/>
      <c r="J51" s="1375"/>
      <c r="K51" s="1375"/>
      <c r="L51" s="1418"/>
      <c r="M51" s="1389"/>
      <c r="N51" s="1390">
        <f>SUM(M52:M54)</f>
        <v>24000</v>
      </c>
      <c r="O51" s="1391">
        <f>SUM(O52:O54)</f>
        <v>0</v>
      </c>
      <c r="P51" s="1391">
        <f t="shared" ref="P51:Z51" si="7">SUM(P52:P54)</f>
        <v>0</v>
      </c>
      <c r="Q51" s="1391">
        <f t="shared" si="7"/>
        <v>0</v>
      </c>
      <c r="R51" s="1391">
        <f t="shared" si="7"/>
        <v>0</v>
      </c>
      <c r="S51" s="1391">
        <f t="shared" si="7"/>
        <v>0</v>
      </c>
      <c r="T51" s="1391">
        <f t="shared" si="7"/>
        <v>8000</v>
      </c>
      <c r="U51" s="1391">
        <f t="shared" si="7"/>
        <v>0</v>
      </c>
      <c r="V51" s="1391">
        <f t="shared" si="7"/>
        <v>0</v>
      </c>
      <c r="W51" s="1391">
        <f t="shared" si="7"/>
        <v>8000</v>
      </c>
      <c r="X51" s="1391">
        <f t="shared" si="7"/>
        <v>0</v>
      </c>
      <c r="Y51" s="1391">
        <f t="shared" si="7"/>
        <v>0</v>
      </c>
      <c r="Z51" s="1391">
        <f t="shared" si="7"/>
        <v>8000</v>
      </c>
      <c r="AA51" s="1377" t="s">
        <v>2081</v>
      </c>
      <c r="AB51" s="1311" t="s">
        <v>2620</v>
      </c>
    </row>
    <row r="52" spans="1:30" ht="79.400000000000006" customHeight="1">
      <c r="A52" s="1366"/>
      <c r="B52" s="1371"/>
      <c r="C52" s="1371"/>
      <c r="D52" s="1371"/>
      <c r="E52" s="1349"/>
      <c r="F52" s="1460" t="s">
        <v>797</v>
      </c>
      <c r="G52" s="1460" t="s">
        <v>798</v>
      </c>
      <c r="H52" s="1372"/>
      <c r="I52" s="1372" t="s">
        <v>239</v>
      </c>
      <c r="J52" s="1372" t="s">
        <v>239</v>
      </c>
      <c r="K52" s="1372" t="s">
        <v>239</v>
      </c>
      <c r="L52" s="1371" t="s">
        <v>799</v>
      </c>
      <c r="M52" s="1386">
        <v>18000</v>
      </c>
      <c r="N52" s="1393"/>
      <c r="O52" s="1394"/>
      <c r="P52" s="1394"/>
      <c r="Q52" s="1394"/>
      <c r="R52" s="1394"/>
      <c r="S52" s="1394"/>
      <c r="T52" s="1394">
        <v>8000</v>
      </c>
      <c r="U52" s="1394"/>
      <c r="V52" s="1394"/>
      <c r="W52" s="1394">
        <v>8000</v>
      </c>
      <c r="X52" s="1394"/>
      <c r="Y52" s="1394"/>
      <c r="Z52" s="1394">
        <v>8000</v>
      </c>
      <c r="AA52" s="1372" t="s">
        <v>787</v>
      </c>
      <c r="AB52" s="1371" t="s">
        <v>788</v>
      </c>
      <c r="AD52" s="1349">
        <v>24000</v>
      </c>
    </row>
    <row r="53" spans="1:30" s="1356" customFormat="1" ht="69" customHeight="1">
      <c r="A53" s="1396"/>
      <c r="B53" s="1395"/>
      <c r="C53" s="1395"/>
      <c r="D53" s="1395"/>
      <c r="E53" s="1395"/>
      <c r="F53" s="1395"/>
      <c r="G53" s="1395" t="s">
        <v>800</v>
      </c>
      <c r="H53" s="1374"/>
      <c r="I53" s="1411"/>
      <c r="J53" s="1374"/>
      <c r="K53" s="1374"/>
      <c r="L53" s="1395" t="s">
        <v>801</v>
      </c>
      <c r="M53" s="1422">
        <v>6000</v>
      </c>
      <c r="N53" s="1393"/>
      <c r="O53" s="1387"/>
      <c r="P53" s="1387"/>
      <c r="Q53" s="1387"/>
      <c r="R53" s="1387"/>
      <c r="S53" s="1387"/>
      <c r="T53" s="1387"/>
      <c r="U53" s="1387"/>
      <c r="V53" s="1387"/>
      <c r="W53" s="1387"/>
      <c r="X53" s="1387"/>
      <c r="Y53" s="1387"/>
      <c r="Z53" s="1387"/>
      <c r="AA53" s="1374"/>
      <c r="AB53" s="1395"/>
    </row>
    <row r="54" spans="1:30" ht="34.950000000000003" customHeight="1">
      <c r="A54" s="1366"/>
      <c r="B54" s="1371"/>
      <c r="C54" s="1371"/>
      <c r="D54" s="1371">
        <v>2</v>
      </c>
      <c r="E54" s="3198" t="s">
        <v>802</v>
      </c>
      <c r="F54" s="3199"/>
      <c r="G54" s="3200"/>
      <c r="H54" s="1367"/>
      <c r="I54" s="1372"/>
      <c r="J54" s="1367"/>
      <c r="K54" s="1372"/>
      <c r="L54" s="1371"/>
      <c r="M54" s="1386"/>
      <c r="N54" s="1393"/>
      <c r="O54" s="1394"/>
      <c r="P54" s="1394"/>
      <c r="Q54" s="1394"/>
      <c r="R54" s="1394"/>
      <c r="S54" s="1394"/>
      <c r="T54" s="1394"/>
      <c r="U54" s="1394"/>
      <c r="V54" s="1394"/>
      <c r="W54" s="1394"/>
      <c r="X54" s="1394"/>
      <c r="Y54" s="1394"/>
      <c r="Z54" s="1394"/>
      <c r="AA54" s="1367"/>
      <c r="AB54" s="1371"/>
    </row>
    <row r="55" spans="1:30" ht="34.950000000000003" customHeight="1">
      <c r="A55" s="1311">
        <v>4</v>
      </c>
      <c r="B55" s="1388">
        <v>13</v>
      </c>
      <c r="C55" s="1388">
        <v>35</v>
      </c>
      <c r="D55" s="1388">
        <v>8</v>
      </c>
      <c r="E55" s="1462" t="s">
        <v>803</v>
      </c>
      <c r="F55" s="1463"/>
      <c r="G55" s="1464"/>
      <c r="H55" s="1379"/>
      <c r="I55" s="1375"/>
      <c r="J55" s="1379"/>
      <c r="K55" s="1375"/>
      <c r="L55" s="1388"/>
      <c r="M55" s="1389"/>
      <c r="N55" s="1390"/>
      <c r="O55" s="1391"/>
      <c r="P55" s="1391"/>
      <c r="Q55" s="1391"/>
      <c r="R55" s="1391"/>
      <c r="S55" s="1391"/>
      <c r="T55" s="1391"/>
      <c r="U55" s="1391"/>
      <c r="V55" s="1391"/>
      <c r="W55" s="1391"/>
      <c r="X55" s="1391"/>
      <c r="Y55" s="1391"/>
      <c r="Z55" s="1391"/>
      <c r="AA55" s="1377" t="s">
        <v>2081</v>
      </c>
      <c r="AB55" s="1311" t="s">
        <v>2621</v>
      </c>
    </row>
    <row r="56" spans="1:30" ht="132" customHeight="1">
      <c r="A56" s="1366"/>
      <c r="B56" s="1371"/>
      <c r="C56" s="1371"/>
      <c r="D56" s="1371"/>
      <c r="E56" s="1371"/>
      <c r="F56" s="1371" t="s">
        <v>804</v>
      </c>
      <c r="G56" s="1371" t="s">
        <v>805</v>
      </c>
      <c r="H56" s="1372" t="s">
        <v>239</v>
      </c>
      <c r="I56" s="1372" t="s">
        <v>239</v>
      </c>
      <c r="J56" s="1372" t="s">
        <v>239</v>
      </c>
      <c r="K56" s="1372" t="s">
        <v>239</v>
      </c>
      <c r="L56" s="1371" t="s">
        <v>806</v>
      </c>
      <c r="M56" s="1386"/>
      <c r="N56" s="1394"/>
      <c r="O56" s="1394"/>
      <c r="P56" s="1394"/>
      <c r="Q56" s="1394"/>
      <c r="R56" s="1394"/>
      <c r="S56" s="1394"/>
      <c r="T56" s="1394"/>
      <c r="U56" s="1394"/>
      <c r="V56" s="1394"/>
      <c r="W56" s="1394"/>
      <c r="X56" s="1394"/>
      <c r="Y56" s="1394"/>
      <c r="Z56" s="1394"/>
      <c r="AA56" s="1372" t="s">
        <v>787</v>
      </c>
      <c r="AB56" s="1371" t="s">
        <v>807</v>
      </c>
    </row>
    <row r="57" spans="1:30" ht="102" customHeight="1">
      <c r="A57" s="1366"/>
      <c r="B57" s="1371"/>
      <c r="C57" s="1371"/>
      <c r="D57" s="1372"/>
      <c r="E57" s="1371"/>
      <c r="F57" s="1371" t="s">
        <v>808</v>
      </c>
      <c r="G57" s="1371"/>
      <c r="H57" s="1371"/>
      <c r="I57" s="1371"/>
      <c r="J57" s="1371"/>
      <c r="K57" s="1371"/>
      <c r="L57" s="1371"/>
      <c r="M57" s="1386"/>
      <c r="N57" s="1393"/>
      <c r="O57" s="1393"/>
      <c r="P57" s="1393"/>
      <c r="Q57" s="1393"/>
      <c r="R57" s="1393"/>
      <c r="S57" s="1393"/>
      <c r="T57" s="1393"/>
      <c r="U57" s="1393"/>
      <c r="V57" s="1393"/>
      <c r="W57" s="1393"/>
      <c r="X57" s="1393"/>
      <c r="Y57" s="1393"/>
      <c r="Z57" s="1393"/>
      <c r="AA57" s="1371"/>
      <c r="AB57" s="1371"/>
    </row>
    <row r="58" spans="1:30" ht="34.950000000000003" customHeight="1">
      <c r="A58" s="1366">
        <v>13</v>
      </c>
      <c r="B58" s="1371" t="s">
        <v>809</v>
      </c>
      <c r="C58" s="1371"/>
      <c r="D58" s="1411">
        <v>1</v>
      </c>
      <c r="E58" s="3198" t="s">
        <v>810</v>
      </c>
      <c r="F58" s="3199"/>
      <c r="G58" s="3200"/>
      <c r="H58" s="1372"/>
      <c r="I58" s="1372"/>
      <c r="J58" s="1372"/>
      <c r="K58" s="1372"/>
      <c r="L58" s="1372"/>
      <c r="M58" s="1423"/>
      <c r="N58" s="1465"/>
      <c r="O58" s="1424"/>
      <c r="P58" s="1424"/>
      <c r="Q58" s="1424"/>
      <c r="R58" s="1424"/>
      <c r="S58" s="1424"/>
      <c r="T58" s="1424"/>
      <c r="U58" s="1424"/>
      <c r="V58" s="1424"/>
      <c r="W58" s="1424"/>
      <c r="X58" s="1424"/>
      <c r="Y58" s="1424"/>
      <c r="Z58" s="1424"/>
      <c r="AA58" s="1411"/>
      <c r="AB58" s="1374"/>
    </row>
    <row r="59" spans="1:30" ht="34.950000000000003" customHeight="1">
      <c r="A59" s="1311"/>
      <c r="B59" s="1388"/>
      <c r="C59" s="1388"/>
      <c r="D59" s="1375">
        <v>9</v>
      </c>
      <c r="E59" s="1481" t="s">
        <v>811</v>
      </c>
      <c r="F59" s="1463"/>
      <c r="G59" s="1464"/>
      <c r="H59" s="1375"/>
      <c r="I59" s="1375"/>
      <c r="J59" s="1375"/>
      <c r="K59" s="1375"/>
      <c r="L59" s="1375"/>
      <c r="M59" s="1482"/>
      <c r="N59" s="1454">
        <f>SUM(M60:M61)</f>
        <v>12000</v>
      </c>
      <c r="O59" s="1482">
        <f>SUM(O60:O61)</f>
        <v>0</v>
      </c>
      <c r="P59" s="1482">
        <f t="shared" ref="P59:Z59" si="8">SUM(P60:P61)</f>
        <v>6000</v>
      </c>
      <c r="Q59" s="1482">
        <f t="shared" si="8"/>
        <v>0</v>
      </c>
      <c r="R59" s="1482">
        <f t="shared" si="8"/>
        <v>0</v>
      </c>
      <c r="S59" s="1482">
        <f t="shared" si="8"/>
        <v>0</v>
      </c>
      <c r="T59" s="1482">
        <f t="shared" si="8"/>
        <v>0</v>
      </c>
      <c r="U59" s="1482">
        <f t="shared" si="8"/>
        <v>0</v>
      </c>
      <c r="V59" s="1482">
        <f t="shared" si="8"/>
        <v>0</v>
      </c>
      <c r="W59" s="1482">
        <f t="shared" si="8"/>
        <v>0</v>
      </c>
      <c r="X59" s="1482">
        <f t="shared" si="8"/>
        <v>6000</v>
      </c>
      <c r="Y59" s="1482">
        <f t="shared" si="8"/>
        <v>0</v>
      </c>
      <c r="Z59" s="1482">
        <f t="shared" si="8"/>
        <v>0</v>
      </c>
      <c r="AA59" s="1375" t="s">
        <v>2081</v>
      </c>
      <c r="AB59" s="1311" t="s">
        <v>280</v>
      </c>
    </row>
    <row r="60" spans="1:30" ht="90" customHeight="1">
      <c r="A60" s="1366"/>
      <c r="B60" s="1371"/>
      <c r="C60" s="1371"/>
      <c r="D60" s="1372"/>
      <c r="E60" s="1483"/>
      <c r="F60" s="1392" t="s">
        <v>812</v>
      </c>
      <c r="G60" s="1371" t="s">
        <v>813</v>
      </c>
      <c r="H60" s="1372" t="s">
        <v>768</v>
      </c>
      <c r="I60" s="1372"/>
      <c r="J60" s="1372"/>
      <c r="K60" s="1372" t="s">
        <v>768</v>
      </c>
      <c r="L60" s="1392" t="s">
        <v>814</v>
      </c>
      <c r="M60" s="1393">
        <v>7000</v>
      </c>
      <c r="N60" s="1393"/>
      <c r="O60" s="1393"/>
      <c r="P60" s="1393">
        <v>6000</v>
      </c>
      <c r="Q60" s="1393"/>
      <c r="R60" s="1393"/>
      <c r="S60" s="1393"/>
      <c r="T60" s="1393"/>
      <c r="U60" s="1393"/>
      <c r="V60" s="1393"/>
      <c r="W60" s="1393"/>
      <c r="X60" s="1393">
        <v>6000</v>
      </c>
      <c r="Y60" s="1393"/>
      <c r="Z60" s="1393"/>
      <c r="AA60" s="1372" t="s">
        <v>815</v>
      </c>
      <c r="AB60" s="1367" t="s">
        <v>724</v>
      </c>
    </row>
    <row r="61" spans="1:30" ht="66" customHeight="1">
      <c r="A61" s="1366"/>
      <c r="B61" s="1371"/>
      <c r="C61" s="1371"/>
      <c r="D61" s="1411"/>
      <c r="E61" s="1392"/>
      <c r="F61" s="1392" t="s">
        <v>816</v>
      </c>
      <c r="G61" s="1392"/>
      <c r="H61" s="1372"/>
      <c r="I61" s="1372"/>
      <c r="J61" s="1372"/>
      <c r="K61" s="1372"/>
      <c r="L61" s="1392" t="s">
        <v>817</v>
      </c>
      <c r="M61" s="1393">
        <v>5000</v>
      </c>
      <c r="N61" s="1393"/>
      <c r="O61" s="1384"/>
      <c r="P61" s="1384"/>
      <c r="Q61" s="1384"/>
      <c r="R61" s="1384"/>
      <c r="S61" s="1384"/>
      <c r="T61" s="1384"/>
      <c r="U61" s="1384"/>
      <c r="V61" s="1384"/>
      <c r="W61" s="1384"/>
      <c r="X61" s="1384"/>
      <c r="Y61" s="1384"/>
      <c r="Z61" s="1384"/>
      <c r="AA61" s="1411"/>
      <c r="AB61" s="1374"/>
    </row>
    <row r="62" spans="1:30" ht="46.3" customHeight="1">
      <c r="A62" s="1311">
        <v>4</v>
      </c>
      <c r="B62" s="1388">
        <v>13</v>
      </c>
      <c r="C62" s="1388">
        <v>35</v>
      </c>
      <c r="D62" s="1375">
        <v>10</v>
      </c>
      <c r="E62" s="1379" t="s">
        <v>2079</v>
      </c>
      <c r="F62" s="1418"/>
      <c r="G62" s="1418"/>
      <c r="H62" s="1375"/>
      <c r="I62" s="1375"/>
      <c r="J62" s="1375"/>
      <c r="K62" s="1375"/>
      <c r="L62" s="1418"/>
      <c r="M62" s="1390"/>
      <c r="N62" s="1390">
        <f>SUM(M63)</f>
        <v>1250</v>
      </c>
      <c r="O62" s="1390">
        <f>SUM(O63)</f>
        <v>0</v>
      </c>
      <c r="P62" s="1390">
        <f t="shared" ref="P62:Z62" si="9">SUM(P63)</f>
        <v>625</v>
      </c>
      <c r="Q62" s="1390">
        <f t="shared" si="9"/>
        <v>0</v>
      </c>
      <c r="R62" s="1390">
        <f t="shared" si="9"/>
        <v>0</v>
      </c>
      <c r="S62" s="1390">
        <f t="shared" si="9"/>
        <v>0</v>
      </c>
      <c r="T62" s="1390">
        <f t="shared" si="9"/>
        <v>0</v>
      </c>
      <c r="U62" s="1390">
        <f t="shared" si="9"/>
        <v>0</v>
      </c>
      <c r="V62" s="1390">
        <f t="shared" si="9"/>
        <v>0</v>
      </c>
      <c r="W62" s="1390">
        <f t="shared" si="9"/>
        <v>0</v>
      </c>
      <c r="X62" s="1390">
        <f t="shared" si="9"/>
        <v>0</v>
      </c>
      <c r="Y62" s="1390">
        <f t="shared" si="9"/>
        <v>625</v>
      </c>
      <c r="Z62" s="1390">
        <f t="shared" si="9"/>
        <v>0</v>
      </c>
      <c r="AA62" s="1375" t="s">
        <v>2081</v>
      </c>
      <c r="AB62" s="1311" t="s">
        <v>280</v>
      </c>
    </row>
    <row r="63" spans="1:30" ht="102.45" customHeight="1">
      <c r="A63" s="1366"/>
      <c r="B63" s="1371"/>
      <c r="C63" s="1371"/>
      <c r="D63" s="1371"/>
      <c r="E63" s="1349"/>
      <c r="F63" s="1371" t="s">
        <v>818</v>
      </c>
      <c r="G63" s="1371" t="s">
        <v>819</v>
      </c>
      <c r="H63" s="1372" t="s">
        <v>768</v>
      </c>
      <c r="I63" s="1372"/>
      <c r="J63" s="1367"/>
      <c r="K63" s="1372" t="s">
        <v>768</v>
      </c>
      <c r="L63" s="1371" t="s">
        <v>820</v>
      </c>
      <c r="M63" s="1386">
        <v>1250</v>
      </c>
      <c r="N63" s="1393"/>
      <c r="O63" s="1394"/>
      <c r="P63" s="1394">
        <v>625</v>
      </c>
      <c r="Q63" s="1393"/>
      <c r="R63" s="1393"/>
      <c r="S63" s="1393"/>
      <c r="T63" s="1393"/>
      <c r="U63" s="1393"/>
      <c r="V63" s="1393"/>
      <c r="W63" s="1393"/>
      <c r="X63" s="1393"/>
      <c r="Y63" s="1394">
        <v>625</v>
      </c>
      <c r="Z63" s="1393"/>
      <c r="AA63" s="1372" t="s">
        <v>815</v>
      </c>
      <c r="AB63" s="1367" t="s">
        <v>724</v>
      </c>
    </row>
    <row r="64" spans="1:30" s="1356" customFormat="1" ht="33.9" customHeight="1">
      <c r="A64" s="1311">
        <v>4</v>
      </c>
      <c r="B64" s="1388">
        <v>13</v>
      </c>
      <c r="C64" s="1388">
        <v>35</v>
      </c>
      <c r="D64" s="1375">
        <v>11</v>
      </c>
      <c r="E64" s="1484" t="s">
        <v>2080</v>
      </c>
      <c r="F64" s="1463"/>
      <c r="G64" s="1464"/>
      <c r="H64" s="1375"/>
      <c r="I64" s="1375"/>
      <c r="J64" s="1375"/>
      <c r="K64" s="1375"/>
      <c r="L64" s="1375"/>
      <c r="M64" s="1482"/>
      <c r="N64" s="1454">
        <f>SUM(M65)</f>
        <v>8640</v>
      </c>
      <c r="O64" s="1482">
        <f>SUM(O65)</f>
        <v>720</v>
      </c>
      <c r="P64" s="1482">
        <f t="shared" ref="P64:Z64" si="10">SUM(P65)</f>
        <v>720</v>
      </c>
      <c r="Q64" s="1482">
        <f t="shared" si="10"/>
        <v>720</v>
      </c>
      <c r="R64" s="1482">
        <f t="shared" si="10"/>
        <v>720</v>
      </c>
      <c r="S64" s="1482">
        <f t="shared" si="10"/>
        <v>720</v>
      </c>
      <c r="T64" s="1482">
        <f t="shared" si="10"/>
        <v>720</v>
      </c>
      <c r="U64" s="1482">
        <f t="shared" si="10"/>
        <v>720</v>
      </c>
      <c r="V64" s="1482">
        <f t="shared" si="10"/>
        <v>720</v>
      </c>
      <c r="W64" s="1482">
        <f t="shared" si="10"/>
        <v>720</v>
      </c>
      <c r="X64" s="1482">
        <f t="shared" si="10"/>
        <v>720</v>
      </c>
      <c r="Y64" s="1482">
        <f t="shared" si="10"/>
        <v>720</v>
      </c>
      <c r="Z64" s="1482">
        <f t="shared" si="10"/>
        <v>720</v>
      </c>
      <c r="AA64" s="1375" t="s">
        <v>2081</v>
      </c>
      <c r="AB64" s="1311" t="s">
        <v>280</v>
      </c>
    </row>
    <row r="65" spans="1:37" s="1485" customFormat="1" ht="153.44999999999999" customHeight="1">
      <c r="A65" s="1491"/>
      <c r="B65" s="1489"/>
      <c r="C65" s="1489"/>
      <c r="D65" s="1489"/>
      <c r="F65" s="1488" t="s">
        <v>821</v>
      </c>
      <c r="G65" s="1488" t="s">
        <v>822</v>
      </c>
      <c r="H65" s="1492" t="s">
        <v>768</v>
      </c>
      <c r="I65" s="1492" t="s">
        <v>768</v>
      </c>
      <c r="J65" s="1492" t="s">
        <v>768</v>
      </c>
      <c r="K65" s="1492" t="s">
        <v>768</v>
      </c>
      <c r="L65" s="1489" t="s">
        <v>823</v>
      </c>
      <c r="M65" s="1510">
        <v>8640</v>
      </c>
      <c r="N65" s="1490"/>
      <c r="O65" s="1490">
        <v>720</v>
      </c>
      <c r="P65" s="1490">
        <v>720</v>
      </c>
      <c r="Q65" s="1490">
        <v>720</v>
      </c>
      <c r="R65" s="1490">
        <v>720</v>
      </c>
      <c r="S65" s="1490">
        <v>720</v>
      </c>
      <c r="T65" s="1490">
        <v>720</v>
      </c>
      <c r="U65" s="1490">
        <v>720</v>
      </c>
      <c r="V65" s="1490">
        <v>720</v>
      </c>
      <c r="W65" s="1490">
        <v>720</v>
      </c>
      <c r="X65" s="1490">
        <v>720</v>
      </c>
      <c r="Y65" s="1490">
        <v>720</v>
      </c>
      <c r="Z65" s="1490">
        <v>720</v>
      </c>
      <c r="AA65" s="1493" t="s">
        <v>824</v>
      </c>
      <c r="AB65" s="1494" t="s">
        <v>825</v>
      </c>
      <c r="AC65" s="1486"/>
      <c r="AD65" s="1486"/>
      <c r="AE65" s="1487"/>
      <c r="AF65" s="1487"/>
      <c r="AG65" s="1487"/>
      <c r="AH65" s="1487"/>
      <c r="AI65" s="1487"/>
      <c r="AJ65" s="1487"/>
      <c r="AK65" s="1487"/>
    </row>
    <row r="66" spans="1:37" s="1485" customFormat="1" ht="48.9" customHeight="1">
      <c r="A66" s="1311">
        <v>4</v>
      </c>
      <c r="B66" s="1425">
        <v>13</v>
      </c>
      <c r="C66" s="1425">
        <v>36</v>
      </c>
      <c r="D66" s="1425">
        <v>12</v>
      </c>
      <c r="E66" s="1496" t="s">
        <v>826</v>
      </c>
      <c r="F66" s="1418"/>
      <c r="G66" s="1418"/>
      <c r="H66" s="1497"/>
      <c r="I66" s="1497"/>
      <c r="J66" s="1497"/>
      <c r="K66" s="1497"/>
      <c r="L66" s="1425"/>
      <c r="M66" s="1498"/>
      <c r="N66" s="1495">
        <f>SUM(M67:M75)</f>
        <v>590500</v>
      </c>
      <c r="O66" s="1498">
        <f>SUM(O67:O80)</f>
        <v>0</v>
      </c>
      <c r="P66" s="1498">
        <f t="shared" ref="P66:Z66" si="11">SUM(P67:P80)</f>
        <v>0</v>
      </c>
      <c r="Q66" s="1498">
        <f t="shared" si="11"/>
        <v>0</v>
      </c>
      <c r="R66" s="1498">
        <f t="shared" si="11"/>
        <v>590500</v>
      </c>
      <c r="S66" s="1498">
        <f t="shared" si="11"/>
        <v>0</v>
      </c>
      <c r="T66" s="1498">
        <f t="shared" si="11"/>
        <v>0</v>
      </c>
      <c r="U66" s="1498">
        <f t="shared" si="11"/>
        <v>0</v>
      </c>
      <c r="V66" s="1498">
        <f t="shared" si="11"/>
        <v>0</v>
      </c>
      <c r="W66" s="1498">
        <f t="shared" si="11"/>
        <v>0</v>
      </c>
      <c r="X66" s="1498">
        <f t="shared" si="11"/>
        <v>0</v>
      </c>
      <c r="Y66" s="1498">
        <f t="shared" si="11"/>
        <v>0</v>
      </c>
      <c r="Z66" s="1498">
        <f t="shared" si="11"/>
        <v>0</v>
      </c>
      <c r="AA66" s="1425" t="s">
        <v>2081</v>
      </c>
      <c r="AB66" s="1375" t="s">
        <v>831</v>
      </c>
      <c r="AC66" s="1487"/>
      <c r="AD66" s="1487"/>
      <c r="AE66" s="1487"/>
      <c r="AF66" s="1487"/>
      <c r="AG66" s="1487"/>
      <c r="AH66" s="1487"/>
      <c r="AI66" s="1487"/>
      <c r="AJ66" s="1487"/>
      <c r="AK66" s="1487"/>
    </row>
    <row r="67" spans="1:37" s="1487" customFormat="1" ht="118.3" customHeight="1">
      <c r="A67" s="1499"/>
      <c r="B67" s="1500"/>
      <c r="C67" s="1500"/>
      <c r="D67" s="1501"/>
      <c r="E67" s="1502"/>
      <c r="F67" s="1503" t="s">
        <v>827</v>
      </c>
      <c r="G67" s="1503" t="s">
        <v>828</v>
      </c>
      <c r="H67" s="1504"/>
      <c r="I67" s="1504"/>
      <c r="J67" s="1504"/>
      <c r="K67" s="1504"/>
      <c r="L67" s="1503" t="s">
        <v>829</v>
      </c>
      <c r="M67" s="1505">
        <v>25000</v>
      </c>
      <c r="O67" s="1506"/>
      <c r="P67" s="1506"/>
      <c r="Q67" s="1506"/>
      <c r="R67" s="1506">
        <v>590500</v>
      </c>
      <c r="S67" s="1506"/>
      <c r="T67" s="1506"/>
      <c r="U67" s="1506"/>
      <c r="V67" s="1506"/>
      <c r="W67" s="1506"/>
      <c r="X67" s="1506"/>
      <c r="Y67" s="1506"/>
      <c r="Z67" s="1506"/>
      <c r="AA67" s="1507" t="s">
        <v>830</v>
      </c>
      <c r="AB67" s="1507" t="s">
        <v>831</v>
      </c>
    </row>
    <row r="68" spans="1:37" s="1433" customFormat="1" ht="104.6" customHeight="1">
      <c r="A68" s="1426"/>
      <c r="B68" s="1427"/>
      <c r="C68" s="1427"/>
      <c r="D68" s="1428"/>
      <c r="E68" s="1429"/>
      <c r="F68" s="1395" t="s">
        <v>832</v>
      </c>
      <c r="G68" s="1395" t="s">
        <v>833</v>
      </c>
      <c r="H68" s="1430"/>
      <c r="I68" s="1430"/>
      <c r="J68" s="1430"/>
      <c r="K68" s="1430"/>
      <c r="L68" s="1395" t="s">
        <v>834</v>
      </c>
      <c r="M68" s="1431">
        <v>80000</v>
      </c>
      <c r="N68" s="1479"/>
      <c r="O68" s="1432"/>
      <c r="P68" s="1432"/>
      <c r="Q68" s="1432"/>
      <c r="R68" s="1432"/>
      <c r="S68" s="1432"/>
      <c r="T68" s="1432"/>
      <c r="U68" s="1432"/>
      <c r="V68" s="1432"/>
      <c r="W68" s="1432"/>
      <c r="X68" s="1432"/>
      <c r="Y68" s="1432"/>
      <c r="Z68" s="1432"/>
      <c r="AA68" s="1430"/>
      <c r="AB68" s="1430"/>
    </row>
    <row r="69" spans="1:37" s="1433" customFormat="1" ht="109.3" customHeight="1">
      <c r="A69" s="1426"/>
      <c r="B69" s="1427"/>
      <c r="C69" s="1427"/>
      <c r="D69" s="1428"/>
      <c r="E69" s="1434"/>
      <c r="F69" s="1435" t="s">
        <v>835</v>
      </c>
      <c r="G69" s="1435" t="s">
        <v>836</v>
      </c>
      <c r="H69" s="1430"/>
      <c r="I69" s="1430"/>
      <c r="J69" s="1430"/>
      <c r="K69" s="1430"/>
      <c r="L69" s="1395" t="s">
        <v>837</v>
      </c>
      <c r="M69" s="1431">
        <v>140000</v>
      </c>
      <c r="N69" s="1479"/>
      <c r="O69" s="1432"/>
      <c r="P69" s="1432"/>
      <c r="Q69" s="1432"/>
      <c r="R69" s="1432"/>
      <c r="S69" s="1432"/>
      <c r="T69" s="1432"/>
      <c r="U69" s="1432"/>
      <c r="V69" s="1432"/>
      <c r="W69" s="1432"/>
      <c r="X69" s="1432"/>
      <c r="Y69" s="1432"/>
      <c r="Z69" s="1432"/>
      <c r="AA69" s="1430"/>
      <c r="AB69" s="1430"/>
    </row>
    <row r="70" spans="1:37" s="1433" customFormat="1" ht="88.3" customHeight="1">
      <c r="A70" s="1426"/>
      <c r="B70" s="1427"/>
      <c r="C70" s="1427"/>
      <c r="D70" s="1436"/>
      <c r="E70" s="1395"/>
      <c r="F70" s="1395"/>
      <c r="G70" s="1395" t="s">
        <v>838</v>
      </c>
      <c r="H70" s="1437"/>
      <c r="I70" s="1430"/>
      <c r="J70" s="1430"/>
      <c r="K70" s="1430"/>
      <c r="L70" s="1395" t="s">
        <v>839</v>
      </c>
      <c r="M70" s="1431">
        <v>150000</v>
      </c>
      <c r="N70" s="1479"/>
      <c r="O70" s="1432"/>
      <c r="P70" s="1432"/>
      <c r="Q70" s="1432"/>
      <c r="R70" s="1432"/>
      <c r="S70" s="1432"/>
      <c r="T70" s="1432"/>
      <c r="U70" s="1432"/>
      <c r="V70" s="1432"/>
      <c r="W70" s="1432"/>
      <c r="X70" s="1432"/>
      <c r="Y70" s="1432"/>
      <c r="Z70" s="1432"/>
      <c r="AA70" s="1430"/>
      <c r="AB70" s="1430"/>
    </row>
    <row r="71" spans="1:37" s="1433" customFormat="1" ht="95.15" customHeight="1">
      <c r="A71" s="1426"/>
      <c r="B71" s="1427"/>
      <c r="C71" s="1427"/>
      <c r="D71" s="1436"/>
      <c r="E71" s="1395"/>
      <c r="F71" s="1395"/>
      <c r="G71" s="1395"/>
      <c r="H71" s="1437"/>
      <c r="I71" s="1430"/>
      <c r="J71" s="1430"/>
      <c r="K71" s="1430"/>
      <c r="L71" s="1395" t="s">
        <v>840</v>
      </c>
      <c r="M71" s="1431">
        <v>120000</v>
      </c>
      <c r="N71" s="1479"/>
      <c r="O71" s="1432"/>
      <c r="P71" s="1432"/>
      <c r="Q71" s="1432"/>
      <c r="R71" s="1432"/>
      <c r="S71" s="1432"/>
      <c r="T71" s="1432"/>
      <c r="U71" s="1432"/>
      <c r="V71" s="1432"/>
      <c r="W71" s="1432"/>
      <c r="X71" s="1432"/>
      <c r="Y71" s="1432"/>
      <c r="Z71" s="1432"/>
      <c r="AA71" s="1430"/>
      <c r="AB71" s="1430"/>
    </row>
    <row r="72" spans="1:37" s="1433" customFormat="1" ht="98.15" customHeight="1">
      <c r="A72" s="1426"/>
      <c r="B72" s="1427"/>
      <c r="C72" s="1427"/>
      <c r="D72" s="1436"/>
      <c r="E72" s="1395"/>
      <c r="F72" s="1395"/>
      <c r="G72" s="1395"/>
      <c r="H72" s="1437"/>
      <c r="I72" s="1430"/>
      <c r="J72" s="1430"/>
      <c r="K72" s="1430"/>
      <c r="L72" s="1395" t="s">
        <v>841</v>
      </c>
      <c r="M72" s="1431">
        <v>6000</v>
      </c>
      <c r="N72" s="1479"/>
      <c r="O72" s="1438"/>
      <c r="P72" s="1438"/>
      <c r="Q72" s="1438"/>
      <c r="R72" s="1438"/>
      <c r="S72" s="1438"/>
      <c r="T72" s="1438"/>
      <c r="U72" s="1438"/>
      <c r="V72" s="1438"/>
      <c r="W72" s="1438"/>
      <c r="X72" s="1438"/>
      <c r="Y72" s="1438"/>
      <c r="Z72" s="1438"/>
      <c r="AA72" s="1430"/>
      <c r="AB72" s="1430"/>
    </row>
    <row r="73" spans="1:37" s="1433" customFormat="1" ht="92.6" customHeight="1">
      <c r="A73" s="1426"/>
      <c r="B73" s="1427"/>
      <c r="C73" s="1427"/>
      <c r="D73" s="1436"/>
      <c r="E73" s="1395"/>
      <c r="F73" s="1395"/>
      <c r="G73" s="1395"/>
      <c r="H73" s="1437"/>
      <c r="I73" s="1430"/>
      <c r="J73" s="1430"/>
      <c r="K73" s="1430"/>
      <c r="L73" s="1395" t="s">
        <v>842</v>
      </c>
      <c r="M73" s="1431">
        <v>10500</v>
      </c>
      <c r="N73" s="1479"/>
      <c r="O73" s="1421"/>
      <c r="P73" s="1421"/>
      <c r="Q73" s="1421"/>
      <c r="R73" s="1421"/>
      <c r="S73" s="1421"/>
      <c r="T73" s="1421"/>
      <c r="U73" s="1421"/>
      <c r="V73" s="1421"/>
      <c r="W73" s="1421"/>
      <c r="X73" s="1421"/>
      <c r="Y73" s="1421"/>
      <c r="Z73" s="1421"/>
      <c r="AA73" s="1437"/>
      <c r="AB73" s="1430"/>
    </row>
    <row r="74" spans="1:37" s="1433" customFormat="1" ht="73.3" customHeight="1">
      <c r="A74" s="1426"/>
      <c r="B74" s="1427"/>
      <c r="C74" s="1427"/>
      <c r="D74" s="1436"/>
      <c r="E74" s="1395"/>
      <c r="F74" s="1395"/>
      <c r="G74" s="1395"/>
      <c r="H74" s="1437"/>
      <c r="I74" s="1430"/>
      <c r="J74" s="1430"/>
      <c r="K74" s="1430"/>
      <c r="L74" s="1395" t="s">
        <v>843</v>
      </c>
      <c r="M74" s="1431">
        <v>11000</v>
      </c>
      <c r="N74" s="1479"/>
      <c r="O74" s="1421"/>
      <c r="P74" s="1421"/>
      <c r="Q74" s="1421"/>
      <c r="R74" s="1421"/>
      <c r="S74" s="1421"/>
      <c r="T74" s="1421"/>
      <c r="U74" s="1421"/>
      <c r="V74" s="1421"/>
      <c r="W74" s="1421"/>
      <c r="X74" s="1421"/>
      <c r="Y74" s="1421"/>
      <c r="Z74" s="1421"/>
      <c r="AA74" s="1437"/>
      <c r="AB74" s="1430"/>
    </row>
    <row r="75" spans="1:37" s="1433" customFormat="1" ht="86.6" customHeight="1">
      <c r="A75" s="1439"/>
      <c r="B75" s="1440"/>
      <c r="C75" s="1440"/>
      <c r="D75" s="1441"/>
      <c r="E75" s="1395"/>
      <c r="F75" s="1395"/>
      <c r="G75" s="1395"/>
      <c r="H75" s="1442"/>
      <c r="I75" s="1443"/>
      <c r="J75" s="1443"/>
      <c r="K75" s="1443"/>
      <c r="L75" s="1435" t="s">
        <v>844</v>
      </c>
      <c r="M75" s="1431">
        <v>48000</v>
      </c>
      <c r="N75" s="1479"/>
      <c r="O75" s="1421"/>
      <c r="P75" s="1421"/>
      <c r="Q75" s="1421"/>
      <c r="R75" s="1421"/>
      <c r="S75" s="1421"/>
      <c r="T75" s="1421"/>
      <c r="U75" s="1421"/>
      <c r="V75" s="1421"/>
      <c r="W75" s="1421"/>
      <c r="X75" s="1421"/>
      <c r="Y75" s="1421"/>
      <c r="Z75" s="1421"/>
      <c r="AA75" s="1437"/>
      <c r="AB75" s="1430"/>
    </row>
    <row r="76" spans="1:37" s="1433" customFormat="1" ht="75" customHeight="1">
      <c r="A76" s="1242"/>
      <c r="B76" s="1444"/>
      <c r="C76" s="1444"/>
      <c r="D76" s="1373"/>
      <c r="E76" s="1395"/>
      <c r="F76" s="1395"/>
      <c r="G76" s="1395"/>
      <c r="H76" s="1395"/>
      <c r="I76" s="1395"/>
      <c r="J76" s="1395"/>
      <c r="K76" s="1395"/>
      <c r="L76" s="1374" t="s">
        <v>845</v>
      </c>
      <c r="M76" s="1431"/>
      <c r="N76" s="1479"/>
      <c r="O76" s="1421"/>
      <c r="P76" s="1421"/>
      <c r="Q76" s="1421"/>
      <c r="R76" s="1421"/>
      <c r="S76" s="1421"/>
      <c r="T76" s="1421"/>
      <c r="U76" s="1421"/>
      <c r="V76" s="1421"/>
      <c r="W76" s="1421"/>
      <c r="X76" s="1421"/>
      <c r="Y76" s="1421"/>
      <c r="Z76" s="1421"/>
      <c r="AA76" s="1445"/>
      <c r="AB76" s="1445"/>
    </row>
    <row r="77" spans="1:37" s="1433" customFormat="1" ht="39.450000000000003" customHeight="1">
      <c r="A77" s="1242"/>
      <c r="B77" s="1444"/>
      <c r="C77" s="1444"/>
      <c r="D77" s="1373"/>
      <c r="E77" s="1395"/>
      <c r="F77" s="1395"/>
      <c r="G77" s="1395"/>
      <c r="H77" s="1395"/>
      <c r="I77" s="1395"/>
      <c r="J77" s="1395"/>
      <c r="K77" s="1395"/>
      <c r="L77" s="1374" t="s">
        <v>846</v>
      </c>
      <c r="M77" s="1431"/>
      <c r="N77" s="1479"/>
      <c r="O77" s="1421"/>
      <c r="P77" s="1421"/>
      <c r="Q77" s="1421"/>
      <c r="R77" s="1421"/>
      <c r="S77" s="1421"/>
      <c r="T77" s="1421"/>
      <c r="U77" s="1421"/>
      <c r="V77" s="1421"/>
      <c r="W77" s="1421"/>
      <c r="X77" s="1421"/>
      <c r="Y77" s="1421"/>
      <c r="Z77" s="1421"/>
      <c r="AA77" s="1445"/>
      <c r="AB77" s="1445"/>
    </row>
    <row r="78" spans="1:37" s="1433" customFormat="1" ht="39.450000000000003" customHeight="1">
      <c r="A78" s="1242"/>
      <c r="B78" s="1444"/>
      <c r="C78" s="1444"/>
      <c r="D78" s="1373"/>
      <c r="E78" s="1395"/>
      <c r="F78" s="1395"/>
      <c r="G78" s="1395"/>
      <c r="H78" s="1395"/>
      <c r="I78" s="1395"/>
      <c r="J78" s="1395"/>
      <c r="K78" s="1395"/>
      <c r="L78" s="1374" t="s">
        <v>847</v>
      </c>
      <c r="M78" s="1431"/>
      <c r="N78" s="1479"/>
      <c r="O78" s="1421"/>
      <c r="P78" s="1421"/>
      <c r="Q78" s="1421"/>
      <c r="R78" s="1421"/>
      <c r="S78" s="1421"/>
      <c r="T78" s="1421"/>
      <c r="U78" s="1421"/>
      <c r="V78" s="1421"/>
      <c r="W78" s="1421"/>
      <c r="X78" s="1421"/>
      <c r="Y78" s="1421"/>
      <c r="Z78" s="1421"/>
      <c r="AA78" s="1445"/>
      <c r="AB78" s="1445"/>
    </row>
    <row r="79" spans="1:37" s="1433" customFormat="1" ht="43.3" customHeight="1">
      <c r="A79" s="1242"/>
      <c r="B79" s="1444"/>
      <c r="C79" s="1444"/>
      <c r="D79" s="1373"/>
      <c r="E79" s="1395"/>
      <c r="F79" s="1395"/>
      <c r="G79" s="1395"/>
      <c r="H79" s="1395"/>
      <c r="I79" s="1395"/>
      <c r="J79" s="1395"/>
      <c r="K79" s="1395"/>
      <c r="L79" s="1374" t="s">
        <v>848</v>
      </c>
      <c r="M79" s="1431"/>
      <c r="N79" s="1479"/>
      <c r="O79" s="1421"/>
      <c r="P79" s="1421"/>
      <c r="Q79" s="1421"/>
      <c r="R79" s="1421"/>
      <c r="S79" s="1421"/>
      <c r="T79" s="1421"/>
      <c r="U79" s="1421"/>
      <c r="V79" s="1421"/>
      <c r="W79" s="1421"/>
      <c r="X79" s="1421"/>
      <c r="Y79" s="1421"/>
      <c r="Z79" s="1421"/>
      <c r="AA79" s="1445"/>
      <c r="AB79" s="1445"/>
    </row>
    <row r="80" spans="1:37" s="1433" customFormat="1" ht="27.45" customHeight="1">
      <c r="A80" s="1242"/>
      <c r="B80" s="1444"/>
      <c r="C80" s="1444"/>
      <c r="D80" s="1373"/>
      <c r="E80" s="1395"/>
      <c r="F80" s="1395"/>
      <c r="G80" s="1395"/>
      <c r="H80" s="1395"/>
      <c r="I80" s="1395"/>
      <c r="J80" s="1395"/>
      <c r="K80" s="1395"/>
      <c r="L80" s="1374" t="s">
        <v>849</v>
      </c>
      <c r="M80" s="1431"/>
      <c r="N80" s="1479"/>
      <c r="O80" s="1421"/>
      <c r="P80" s="1421"/>
      <c r="Q80" s="1421"/>
      <c r="R80" s="1421"/>
      <c r="S80" s="1421"/>
      <c r="T80" s="1421"/>
      <c r="U80" s="1421"/>
      <c r="V80" s="1421"/>
      <c r="W80" s="1421"/>
      <c r="X80" s="1421"/>
      <c r="Y80" s="1421"/>
      <c r="Z80" s="1421"/>
      <c r="AA80" s="1445"/>
      <c r="AB80" s="1445"/>
    </row>
    <row r="81" spans="1:28" ht="34.950000000000003" customHeight="1">
      <c r="A81" s="1366"/>
      <c r="B81" s="1371"/>
      <c r="C81" s="1371"/>
      <c r="D81" s="1395"/>
      <c r="E81" s="1395" t="s">
        <v>850</v>
      </c>
      <c r="F81" s="1395"/>
      <c r="G81" s="1395"/>
      <c r="H81" s="1373"/>
      <c r="I81" s="1373"/>
      <c r="J81" s="1373"/>
      <c r="K81" s="1373"/>
      <c r="L81" s="1395"/>
      <c r="M81" s="1409"/>
      <c r="N81" s="1423">
        <f>N66+N65+N63+N60+N52+N46+N42+N37+N33+N25+N24+N23+N19+N12</f>
        <v>590500</v>
      </c>
      <c r="O81" s="1446">
        <f t="shared" ref="O81:Z81" si="12">SUM(O11:O80)</f>
        <v>1440</v>
      </c>
      <c r="P81" s="1446">
        <f t="shared" si="12"/>
        <v>14690</v>
      </c>
      <c r="Q81" s="1446">
        <f t="shared" si="12"/>
        <v>329440</v>
      </c>
      <c r="R81" s="1446">
        <f t="shared" si="12"/>
        <v>1255080</v>
      </c>
      <c r="S81" s="1446">
        <f t="shared" si="12"/>
        <v>44080</v>
      </c>
      <c r="T81" s="1446">
        <f t="shared" si="12"/>
        <v>56480</v>
      </c>
      <c r="U81" s="1446">
        <f t="shared" si="12"/>
        <v>9280</v>
      </c>
      <c r="V81" s="1446">
        <f t="shared" si="12"/>
        <v>40480</v>
      </c>
      <c r="W81" s="1446">
        <f t="shared" si="12"/>
        <v>25280</v>
      </c>
      <c r="X81" s="1446">
        <f t="shared" si="12"/>
        <v>13440</v>
      </c>
      <c r="Y81" s="1446">
        <f t="shared" si="12"/>
        <v>2690</v>
      </c>
      <c r="Z81" s="1446">
        <f t="shared" si="12"/>
        <v>101440</v>
      </c>
      <c r="AA81" s="1374"/>
      <c r="AB81" s="1374"/>
    </row>
    <row r="82" spans="1:28" ht="34.950000000000003" customHeight="1">
      <c r="N82" s="1348"/>
      <c r="Q82" s="1447">
        <f>SUM(O81:Q81)</f>
        <v>345570</v>
      </c>
      <c r="T82" s="1447">
        <f>SUM(R81:T81)</f>
        <v>1355640</v>
      </c>
      <c r="W82" s="1447">
        <f>SUM(U81:W81)</f>
        <v>75040</v>
      </c>
      <c r="Z82" s="1447">
        <f>SUM(X81:Z81)</f>
        <v>117570</v>
      </c>
      <c r="AB82" s="1448">
        <f>SUM(Q82:Z82)</f>
        <v>1893820</v>
      </c>
    </row>
    <row r="83" spans="1:28" ht="34.950000000000003" customHeight="1">
      <c r="N83" s="1480"/>
    </row>
    <row r="84" spans="1:28" ht="34.950000000000003" customHeight="1">
      <c r="N84" s="1348"/>
    </row>
    <row r="85" spans="1:28" ht="34.950000000000003" customHeight="1">
      <c r="N85" s="1348"/>
    </row>
    <row r="86" spans="1:28" ht="34.950000000000003" customHeight="1">
      <c r="N86" s="1348"/>
    </row>
    <row r="87" spans="1:28" ht="34.950000000000003" customHeight="1">
      <c r="N87" s="1348"/>
    </row>
    <row r="88" spans="1:28" ht="34.950000000000003" customHeight="1">
      <c r="N88" s="1348"/>
    </row>
    <row r="89" spans="1:28" ht="34.950000000000003" customHeight="1">
      <c r="N89" s="1348"/>
    </row>
    <row r="90" spans="1:28" ht="34.950000000000003" customHeight="1">
      <c r="N90" s="1348"/>
    </row>
    <row r="91" spans="1:28" ht="34.950000000000003" customHeight="1">
      <c r="N91" s="1348"/>
    </row>
    <row r="92" spans="1:28" ht="34.950000000000003" customHeight="1">
      <c r="N92" s="1348"/>
    </row>
    <row r="93" spans="1:28" ht="34.950000000000003" customHeight="1">
      <c r="N93" s="1348"/>
    </row>
    <row r="94" spans="1:28" ht="34.950000000000003" customHeight="1">
      <c r="N94" s="1348"/>
    </row>
    <row r="95" spans="1:28" ht="34.950000000000003" customHeight="1">
      <c r="N95" s="1348"/>
    </row>
    <row r="96" spans="1:28" ht="34.950000000000003" customHeight="1">
      <c r="N96" s="1348"/>
    </row>
    <row r="97" spans="14:14" ht="34.950000000000003" customHeight="1">
      <c r="N97" s="1348"/>
    </row>
    <row r="98" spans="14:14" ht="34.950000000000003" customHeight="1">
      <c r="N98" s="1348"/>
    </row>
    <row r="99" spans="14:14" ht="34.950000000000003" customHeight="1">
      <c r="N99" s="1348"/>
    </row>
    <row r="100" spans="14:14" ht="34.950000000000003" customHeight="1">
      <c r="N100" s="1348"/>
    </row>
    <row r="101" spans="14:14" ht="34.950000000000003" customHeight="1">
      <c r="N101" s="1348"/>
    </row>
    <row r="102" spans="14:14" ht="34.950000000000003" customHeight="1">
      <c r="N102" s="1348"/>
    </row>
    <row r="103" spans="14:14" ht="34.950000000000003" customHeight="1">
      <c r="N103" s="1348"/>
    </row>
    <row r="104" spans="14:14" ht="34.950000000000003" customHeight="1">
      <c r="N104" s="1348"/>
    </row>
    <row r="105" spans="14:14" ht="34.950000000000003" customHeight="1">
      <c r="N105" s="1348"/>
    </row>
    <row r="106" spans="14:14" ht="34.950000000000003" customHeight="1">
      <c r="N106" s="1348"/>
    </row>
    <row r="107" spans="14:14" ht="34.950000000000003" customHeight="1">
      <c r="N107" s="1348"/>
    </row>
    <row r="108" spans="14:14" ht="34.950000000000003" customHeight="1">
      <c r="N108" s="1348"/>
    </row>
    <row r="109" spans="14:14" ht="34.950000000000003" customHeight="1">
      <c r="N109" s="1348"/>
    </row>
    <row r="110" spans="14:14" ht="34.950000000000003" customHeight="1">
      <c r="N110" s="1348"/>
    </row>
    <row r="111" spans="14:14" ht="34.950000000000003" customHeight="1">
      <c r="N111" s="1348"/>
    </row>
    <row r="112" spans="14:14" ht="34.950000000000003" customHeight="1">
      <c r="N112" s="1348"/>
    </row>
    <row r="113" spans="14:14" ht="34.950000000000003" customHeight="1">
      <c r="N113" s="1348"/>
    </row>
    <row r="114" spans="14:14" ht="34.950000000000003" customHeight="1">
      <c r="N114" s="1348"/>
    </row>
    <row r="115" spans="14:14" ht="34.950000000000003" customHeight="1">
      <c r="N115" s="1348"/>
    </row>
    <row r="116" spans="14:14" ht="34.950000000000003" customHeight="1">
      <c r="N116" s="1348"/>
    </row>
    <row r="117" spans="14:14" ht="34.950000000000003" customHeight="1">
      <c r="N117" s="1348"/>
    </row>
    <row r="118" spans="14:14" ht="34.950000000000003" customHeight="1">
      <c r="N118" s="1348"/>
    </row>
    <row r="119" spans="14:14" ht="34.950000000000003" customHeight="1">
      <c r="N119" s="1348"/>
    </row>
    <row r="120" spans="14:14" ht="34.950000000000003" customHeight="1">
      <c r="N120" s="1348"/>
    </row>
    <row r="121" spans="14:14" ht="34.950000000000003" customHeight="1">
      <c r="N121" s="1348"/>
    </row>
    <row r="122" spans="14:14" ht="34.950000000000003" customHeight="1">
      <c r="N122" s="1348"/>
    </row>
    <row r="123" spans="14:14" ht="34.950000000000003" customHeight="1">
      <c r="N123" s="1348"/>
    </row>
    <row r="124" spans="14:14" ht="34.950000000000003" customHeight="1">
      <c r="N124" s="1348"/>
    </row>
    <row r="125" spans="14:14" ht="34.950000000000003" customHeight="1">
      <c r="N125" s="1348"/>
    </row>
    <row r="126" spans="14:14" ht="34.950000000000003" customHeight="1">
      <c r="N126" s="1348"/>
    </row>
    <row r="127" spans="14:14" ht="34.950000000000003" customHeight="1">
      <c r="N127" s="1348"/>
    </row>
    <row r="128" spans="14:14" ht="34.950000000000003" customHeight="1">
      <c r="N128" s="1348"/>
    </row>
    <row r="129" spans="14:14" ht="34.950000000000003" customHeight="1">
      <c r="N129" s="1348"/>
    </row>
    <row r="130" spans="14:14" ht="34.950000000000003" customHeight="1">
      <c r="N130" s="1348"/>
    </row>
    <row r="131" spans="14:14" ht="34.950000000000003" customHeight="1">
      <c r="N131" s="1348"/>
    </row>
    <row r="132" spans="14:14" ht="34.950000000000003" customHeight="1">
      <c r="N132" s="1348"/>
    </row>
    <row r="133" spans="14:14" ht="34.950000000000003" customHeight="1">
      <c r="N133" s="1348"/>
    </row>
    <row r="134" spans="14:14" ht="34.950000000000003" customHeight="1">
      <c r="N134" s="1348"/>
    </row>
    <row r="135" spans="14:14" ht="34.950000000000003" customHeight="1">
      <c r="N135" s="1348"/>
    </row>
    <row r="136" spans="14:14" ht="34.950000000000003" customHeight="1">
      <c r="N136" s="1348"/>
    </row>
    <row r="137" spans="14:14" ht="34.950000000000003" customHeight="1">
      <c r="N137" s="1348"/>
    </row>
    <row r="138" spans="14:14" ht="34.950000000000003" customHeight="1">
      <c r="N138" s="1348"/>
    </row>
    <row r="139" spans="14:14" ht="34.950000000000003" customHeight="1">
      <c r="N139" s="1348"/>
    </row>
    <row r="140" spans="14:14" ht="34.950000000000003" customHeight="1">
      <c r="N140" s="1348"/>
    </row>
    <row r="141" spans="14:14" ht="34.950000000000003" customHeight="1">
      <c r="N141" s="1348"/>
    </row>
  </sheetData>
  <autoFilter ref="A1:AE38" xr:uid="{6388F7F3-9B31-40EF-9980-A0DC86607B9F}">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mergeCells count="22">
    <mergeCell ref="E58:G58"/>
    <mergeCell ref="E31:G31"/>
    <mergeCell ref="E36:G36"/>
    <mergeCell ref="N37:N39"/>
    <mergeCell ref="E44:G44"/>
    <mergeCell ref="E54:G54"/>
    <mergeCell ref="E22:G22"/>
    <mergeCell ref="D1:AB1"/>
    <mergeCell ref="D8:D10"/>
    <mergeCell ref="E8:E10"/>
    <mergeCell ref="F8:F10"/>
    <mergeCell ref="G8:G10"/>
    <mergeCell ref="H8:K9"/>
    <mergeCell ref="L8:M9"/>
    <mergeCell ref="N8:N10"/>
    <mergeCell ref="O8:Z8"/>
    <mergeCell ref="AA8:AA10"/>
    <mergeCell ref="AB8:AB10"/>
    <mergeCell ref="O9:Q9"/>
    <mergeCell ref="R9:T9"/>
    <mergeCell ref="U9:W9"/>
    <mergeCell ref="X9:Z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75DBF-0648-43FB-831F-0BD4A6465CD3}">
  <sheetPr>
    <tabColor rgb="FF92D050"/>
  </sheetPr>
  <dimension ref="A1:IW161"/>
  <sheetViews>
    <sheetView topLeftCell="A29" zoomScale="50" zoomScaleNormal="50" workbookViewId="0">
      <selection activeCell="M6" sqref="M6"/>
    </sheetView>
  </sheetViews>
  <sheetFormatPr defaultRowHeight="24"/>
  <cols>
    <col min="1" max="1" width="6.0703125" style="71" customWidth="1"/>
    <col min="2" max="2" width="9.5703125" style="71" customWidth="1"/>
    <col min="3" max="3" width="9.0703125" style="71" customWidth="1"/>
    <col min="4" max="4" width="6.28515625" style="71" customWidth="1"/>
    <col min="5" max="5" width="25.0703125" style="71" customWidth="1"/>
    <col min="6" max="6" width="23.0703125" style="71" customWidth="1"/>
    <col min="7" max="7" width="30.5" style="71" customWidth="1"/>
    <col min="8" max="11" width="2.5703125" style="73" customWidth="1"/>
    <col min="12" max="12" width="25.5" style="71" customWidth="1"/>
    <col min="13" max="13" width="15.78515625" style="71" customWidth="1"/>
    <col min="14" max="14" width="19" style="71" customWidth="1"/>
    <col min="15" max="15" width="14.0703125" style="71" customWidth="1"/>
    <col min="16" max="16" width="13" style="71" customWidth="1"/>
    <col min="17" max="17" width="15.28515625" style="71" customWidth="1"/>
    <col min="18" max="18" width="12.28515625" style="71" customWidth="1"/>
    <col min="19" max="19" width="11.5703125" style="71" customWidth="1"/>
    <col min="20" max="20" width="14" style="71" customWidth="1"/>
    <col min="21" max="22" width="11.5703125" style="71" customWidth="1"/>
    <col min="23" max="23" width="15" style="71" customWidth="1"/>
    <col min="24" max="24" width="9.5" style="71" customWidth="1"/>
    <col min="25" max="25" width="11.5703125" style="71" customWidth="1"/>
    <col min="26" max="26" width="14.7109375" style="71" customWidth="1"/>
    <col min="27" max="27" width="14.640625" style="71" customWidth="1"/>
    <col min="28" max="28" width="12.5703125" style="73" customWidth="1"/>
    <col min="29" max="29" width="7.0703125" style="71" customWidth="1"/>
    <col min="30" max="30" width="11.5703125" style="71" customWidth="1"/>
    <col min="31" max="31" width="15.5" style="71" customWidth="1"/>
    <col min="32" max="255" width="9.140625" style="71"/>
    <col min="256" max="256" width="4.5" style="71" customWidth="1"/>
    <col min="257" max="257" width="20.5703125" style="71" customWidth="1"/>
    <col min="258" max="258" width="12.0703125" style="71" customWidth="1"/>
    <col min="259" max="259" width="12.5703125" style="71" customWidth="1"/>
    <col min="260" max="260" width="3.5703125" style="71" customWidth="1"/>
    <col min="261" max="262" width="4.0703125" style="71" customWidth="1"/>
    <col min="263" max="263" width="4" style="71" customWidth="1"/>
    <col min="264" max="264" width="16.0703125" style="71" customWidth="1"/>
    <col min="265" max="265" width="5.5703125" style="71" customWidth="1"/>
    <col min="266" max="266" width="8.5703125" style="71" customWidth="1"/>
    <col min="267" max="267" width="5.0703125" style="71" customWidth="1"/>
    <col min="268" max="269" width="4.0703125" style="71" customWidth="1"/>
    <col min="270" max="270" width="3.0703125" style="71" customWidth="1"/>
    <col min="271" max="271" width="4.5703125" style="71" customWidth="1"/>
    <col min="272" max="272" width="4.0703125" style="71" customWidth="1"/>
    <col min="273" max="273" width="4" style="71" customWidth="1"/>
    <col min="274" max="274" width="3" style="71" customWidth="1"/>
    <col min="275" max="275" width="3.5703125" style="71" customWidth="1"/>
    <col min="276" max="276" width="4.0703125" style="71" customWidth="1"/>
    <col min="277" max="277" width="3.5" style="71" customWidth="1"/>
    <col min="278" max="278" width="4.5703125" style="71" customWidth="1"/>
    <col min="279" max="279" width="10.5703125" style="71" customWidth="1"/>
    <col min="280" max="280" width="7.0703125" style="71" customWidth="1"/>
    <col min="281" max="281" width="8.0703125" style="71" customWidth="1"/>
    <col min="282" max="284" width="7.5703125" style="71" customWidth="1"/>
    <col min="285" max="285" width="7.0703125" style="71" customWidth="1"/>
    <col min="286" max="511" width="9.140625" style="71"/>
    <col min="512" max="512" width="4.5" style="71" customWidth="1"/>
    <col min="513" max="513" width="20.5703125" style="71" customWidth="1"/>
    <col min="514" max="514" width="12.0703125" style="71" customWidth="1"/>
    <col min="515" max="515" width="12.5703125" style="71" customWidth="1"/>
    <col min="516" max="516" width="3.5703125" style="71" customWidth="1"/>
    <col min="517" max="518" width="4.0703125" style="71" customWidth="1"/>
    <col min="519" max="519" width="4" style="71" customWidth="1"/>
    <col min="520" max="520" width="16.0703125" style="71" customWidth="1"/>
    <col min="521" max="521" width="5.5703125" style="71" customWidth="1"/>
    <col min="522" max="522" width="8.5703125" style="71" customWidth="1"/>
    <col min="523" max="523" width="5.0703125" style="71" customWidth="1"/>
    <col min="524" max="525" width="4.0703125" style="71" customWidth="1"/>
    <col min="526" max="526" width="3.0703125" style="71" customWidth="1"/>
    <col min="527" max="527" width="4.5703125" style="71" customWidth="1"/>
    <col min="528" max="528" width="4.0703125" style="71" customWidth="1"/>
    <col min="529" max="529" width="4" style="71" customWidth="1"/>
    <col min="530" max="530" width="3" style="71" customWidth="1"/>
    <col min="531" max="531" width="3.5703125" style="71" customWidth="1"/>
    <col min="532" max="532" width="4.0703125" style="71" customWidth="1"/>
    <col min="533" max="533" width="3.5" style="71" customWidth="1"/>
    <col min="534" max="534" width="4.5703125" style="71" customWidth="1"/>
    <col min="535" max="535" width="10.5703125" style="71" customWidth="1"/>
    <col min="536" max="536" width="7.0703125" style="71" customWidth="1"/>
    <col min="537" max="537" width="8.0703125" style="71" customWidth="1"/>
    <col min="538" max="540" width="7.5703125" style="71" customWidth="1"/>
    <col min="541" max="541" width="7.0703125" style="71" customWidth="1"/>
    <col min="542" max="767" width="9.140625" style="71"/>
    <col min="768" max="768" width="4.5" style="71" customWidth="1"/>
    <col min="769" max="769" width="20.5703125" style="71" customWidth="1"/>
    <col min="770" max="770" width="12.0703125" style="71" customWidth="1"/>
    <col min="771" max="771" width="12.5703125" style="71" customWidth="1"/>
    <col min="772" max="772" width="3.5703125" style="71" customWidth="1"/>
    <col min="773" max="774" width="4.0703125" style="71" customWidth="1"/>
    <col min="775" max="775" width="4" style="71" customWidth="1"/>
    <col min="776" max="776" width="16.0703125" style="71" customWidth="1"/>
    <col min="777" max="777" width="5.5703125" style="71" customWidth="1"/>
    <col min="778" max="778" width="8.5703125" style="71" customWidth="1"/>
    <col min="779" max="779" width="5.0703125" style="71" customWidth="1"/>
    <col min="780" max="781" width="4.0703125" style="71" customWidth="1"/>
    <col min="782" max="782" width="3.0703125" style="71" customWidth="1"/>
    <col min="783" max="783" width="4.5703125" style="71" customWidth="1"/>
    <col min="784" max="784" width="4.0703125" style="71" customWidth="1"/>
    <col min="785" max="785" width="4" style="71" customWidth="1"/>
    <col min="786" max="786" width="3" style="71" customWidth="1"/>
    <col min="787" max="787" width="3.5703125" style="71" customWidth="1"/>
    <col min="788" max="788" width="4.0703125" style="71" customWidth="1"/>
    <col min="789" max="789" width="3.5" style="71" customWidth="1"/>
    <col min="790" max="790" width="4.5703125" style="71" customWidth="1"/>
    <col min="791" max="791" width="10.5703125" style="71" customWidth="1"/>
    <col min="792" max="792" width="7.0703125" style="71" customWidth="1"/>
    <col min="793" max="793" width="8.0703125" style="71" customWidth="1"/>
    <col min="794" max="796" width="7.5703125" style="71" customWidth="1"/>
    <col min="797" max="797" width="7.0703125" style="71" customWidth="1"/>
    <col min="798" max="1023" width="9.140625" style="71"/>
    <col min="1024" max="1024" width="4.5" style="71" customWidth="1"/>
    <col min="1025" max="1025" width="20.5703125" style="71" customWidth="1"/>
    <col min="1026" max="1026" width="12.0703125" style="71" customWidth="1"/>
    <col min="1027" max="1027" width="12.5703125" style="71" customWidth="1"/>
    <col min="1028" max="1028" width="3.5703125" style="71" customWidth="1"/>
    <col min="1029" max="1030" width="4.0703125" style="71" customWidth="1"/>
    <col min="1031" max="1031" width="4" style="71" customWidth="1"/>
    <col min="1032" max="1032" width="16.0703125" style="71" customWidth="1"/>
    <col min="1033" max="1033" width="5.5703125" style="71" customWidth="1"/>
    <col min="1034" max="1034" width="8.5703125" style="71" customWidth="1"/>
    <col min="1035" max="1035" width="5.0703125" style="71" customWidth="1"/>
    <col min="1036" max="1037" width="4.0703125" style="71" customWidth="1"/>
    <col min="1038" max="1038" width="3.0703125" style="71" customWidth="1"/>
    <col min="1039" max="1039" width="4.5703125" style="71" customWidth="1"/>
    <col min="1040" max="1040" width="4.0703125" style="71" customWidth="1"/>
    <col min="1041" max="1041" width="4" style="71" customWidth="1"/>
    <col min="1042" max="1042" width="3" style="71" customWidth="1"/>
    <col min="1043" max="1043" width="3.5703125" style="71" customWidth="1"/>
    <col min="1044" max="1044" width="4.0703125" style="71" customWidth="1"/>
    <col min="1045" max="1045" width="3.5" style="71" customWidth="1"/>
    <col min="1046" max="1046" width="4.5703125" style="71" customWidth="1"/>
    <col min="1047" max="1047" width="10.5703125" style="71" customWidth="1"/>
    <col min="1048" max="1048" width="7.0703125" style="71" customWidth="1"/>
    <col min="1049" max="1049" width="8.0703125" style="71" customWidth="1"/>
    <col min="1050" max="1052" width="7.5703125" style="71" customWidth="1"/>
    <col min="1053" max="1053" width="7.0703125" style="71" customWidth="1"/>
    <col min="1054" max="1279" width="9.140625" style="71"/>
    <col min="1280" max="1280" width="4.5" style="71" customWidth="1"/>
    <col min="1281" max="1281" width="20.5703125" style="71" customWidth="1"/>
    <col min="1282" max="1282" width="12.0703125" style="71" customWidth="1"/>
    <col min="1283" max="1283" width="12.5703125" style="71" customWidth="1"/>
    <col min="1284" max="1284" width="3.5703125" style="71" customWidth="1"/>
    <col min="1285" max="1286" width="4.0703125" style="71" customWidth="1"/>
    <col min="1287" max="1287" width="4" style="71" customWidth="1"/>
    <col min="1288" max="1288" width="16.0703125" style="71" customWidth="1"/>
    <col min="1289" max="1289" width="5.5703125" style="71" customWidth="1"/>
    <col min="1290" max="1290" width="8.5703125" style="71" customWidth="1"/>
    <col min="1291" max="1291" width="5.0703125" style="71" customWidth="1"/>
    <col min="1292" max="1293" width="4.0703125" style="71" customWidth="1"/>
    <col min="1294" max="1294" width="3.0703125" style="71" customWidth="1"/>
    <col min="1295" max="1295" width="4.5703125" style="71" customWidth="1"/>
    <col min="1296" max="1296" width="4.0703125" style="71" customWidth="1"/>
    <col min="1297" max="1297" width="4" style="71" customWidth="1"/>
    <col min="1298" max="1298" width="3" style="71" customWidth="1"/>
    <col min="1299" max="1299" width="3.5703125" style="71" customWidth="1"/>
    <col min="1300" max="1300" width="4.0703125" style="71" customWidth="1"/>
    <col min="1301" max="1301" width="3.5" style="71" customWidth="1"/>
    <col min="1302" max="1302" width="4.5703125" style="71" customWidth="1"/>
    <col min="1303" max="1303" width="10.5703125" style="71" customWidth="1"/>
    <col min="1304" max="1304" width="7.0703125" style="71" customWidth="1"/>
    <col min="1305" max="1305" width="8.0703125" style="71" customWidth="1"/>
    <col min="1306" max="1308" width="7.5703125" style="71" customWidth="1"/>
    <col min="1309" max="1309" width="7.0703125" style="71" customWidth="1"/>
    <col min="1310" max="1535" width="9.140625" style="71"/>
    <col min="1536" max="1536" width="4.5" style="71" customWidth="1"/>
    <col min="1537" max="1537" width="20.5703125" style="71" customWidth="1"/>
    <col min="1538" max="1538" width="12.0703125" style="71" customWidth="1"/>
    <col min="1539" max="1539" width="12.5703125" style="71" customWidth="1"/>
    <col min="1540" max="1540" width="3.5703125" style="71" customWidth="1"/>
    <col min="1541" max="1542" width="4.0703125" style="71" customWidth="1"/>
    <col min="1543" max="1543" width="4" style="71" customWidth="1"/>
    <col min="1544" max="1544" width="16.0703125" style="71" customWidth="1"/>
    <col min="1545" max="1545" width="5.5703125" style="71" customWidth="1"/>
    <col min="1546" max="1546" width="8.5703125" style="71" customWidth="1"/>
    <col min="1547" max="1547" width="5.0703125" style="71" customWidth="1"/>
    <col min="1548" max="1549" width="4.0703125" style="71" customWidth="1"/>
    <col min="1550" max="1550" width="3.0703125" style="71" customWidth="1"/>
    <col min="1551" max="1551" width="4.5703125" style="71" customWidth="1"/>
    <col min="1552" max="1552" width="4.0703125" style="71" customWidth="1"/>
    <col min="1553" max="1553" width="4" style="71" customWidth="1"/>
    <col min="1554" max="1554" width="3" style="71" customWidth="1"/>
    <col min="1555" max="1555" width="3.5703125" style="71" customWidth="1"/>
    <col min="1556" max="1556" width="4.0703125" style="71" customWidth="1"/>
    <col min="1557" max="1557" width="3.5" style="71" customWidth="1"/>
    <col min="1558" max="1558" width="4.5703125" style="71" customWidth="1"/>
    <col min="1559" max="1559" width="10.5703125" style="71" customWidth="1"/>
    <col min="1560" max="1560" width="7.0703125" style="71" customWidth="1"/>
    <col min="1561" max="1561" width="8.0703125" style="71" customWidth="1"/>
    <col min="1562" max="1564" width="7.5703125" style="71" customWidth="1"/>
    <col min="1565" max="1565" width="7.0703125" style="71" customWidth="1"/>
    <col min="1566" max="1791" width="9.140625" style="71"/>
    <col min="1792" max="1792" width="4.5" style="71" customWidth="1"/>
    <col min="1793" max="1793" width="20.5703125" style="71" customWidth="1"/>
    <col min="1794" max="1794" width="12.0703125" style="71" customWidth="1"/>
    <col min="1795" max="1795" width="12.5703125" style="71" customWidth="1"/>
    <col min="1796" max="1796" width="3.5703125" style="71" customWidth="1"/>
    <col min="1797" max="1798" width="4.0703125" style="71" customWidth="1"/>
    <col min="1799" max="1799" width="4" style="71" customWidth="1"/>
    <col min="1800" max="1800" width="16.0703125" style="71" customWidth="1"/>
    <col min="1801" max="1801" width="5.5703125" style="71" customWidth="1"/>
    <col min="1802" max="1802" width="8.5703125" style="71" customWidth="1"/>
    <col min="1803" max="1803" width="5.0703125" style="71" customWidth="1"/>
    <col min="1804" max="1805" width="4.0703125" style="71" customWidth="1"/>
    <col min="1806" max="1806" width="3.0703125" style="71" customWidth="1"/>
    <col min="1807" max="1807" width="4.5703125" style="71" customWidth="1"/>
    <col min="1808" max="1808" width="4.0703125" style="71" customWidth="1"/>
    <col min="1809" max="1809" width="4" style="71" customWidth="1"/>
    <col min="1810" max="1810" width="3" style="71" customWidth="1"/>
    <col min="1811" max="1811" width="3.5703125" style="71" customWidth="1"/>
    <col min="1812" max="1812" width="4.0703125" style="71" customWidth="1"/>
    <col min="1813" max="1813" width="3.5" style="71" customWidth="1"/>
    <col min="1814" max="1814" width="4.5703125" style="71" customWidth="1"/>
    <col min="1815" max="1815" width="10.5703125" style="71" customWidth="1"/>
    <col min="1816" max="1816" width="7.0703125" style="71" customWidth="1"/>
    <col min="1817" max="1817" width="8.0703125" style="71" customWidth="1"/>
    <col min="1818" max="1820" width="7.5703125" style="71" customWidth="1"/>
    <col min="1821" max="1821" width="7.0703125" style="71" customWidth="1"/>
    <col min="1822" max="2047" width="9.140625" style="71"/>
    <col min="2048" max="2048" width="4.5" style="71" customWidth="1"/>
    <col min="2049" max="2049" width="20.5703125" style="71" customWidth="1"/>
    <col min="2050" max="2050" width="12.0703125" style="71" customWidth="1"/>
    <col min="2051" max="2051" width="12.5703125" style="71" customWidth="1"/>
    <col min="2052" max="2052" width="3.5703125" style="71" customWidth="1"/>
    <col min="2053" max="2054" width="4.0703125" style="71" customWidth="1"/>
    <col min="2055" max="2055" width="4" style="71" customWidth="1"/>
    <col min="2056" max="2056" width="16.0703125" style="71" customWidth="1"/>
    <col min="2057" max="2057" width="5.5703125" style="71" customWidth="1"/>
    <col min="2058" max="2058" width="8.5703125" style="71" customWidth="1"/>
    <col min="2059" max="2059" width="5.0703125" style="71" customWidth="1"/>
    <col min="2060" max="2061" width="4.0703125" style="71" customWidth="1"/>
    <col min="2062" max="2062" width="3.0703125" style="71" customWidth="1"/>
    <col min="2063" max="2063" width="4.5703125" style="71" customWidth="1"/>
    <col min="2064" max="2064" width="4.0703125" style="71" customWidth="1"/>
    <col min="2065" max="2065" width="4" style="71" customWidth="1"/>
    <col min="2066" max="2066" width="3" style="71" customWidth="1"/>
    <col min="2067" max="2067" width="3.5703125" style="71" customWidth="1"/>
    <col min="2068" max="2068" width="4.0703125" style="71" customWidth="1"/>
    <col min="2069" max="2069" width="3.5" style="71" customWidth="1"/>
    <col min="2070" max="2070" width="4.5703125" style="71" customWidth="1"/>
    <col min="2071" max="2071" width="10.5703125" style="71" customWidth="1"/>
    <col min="2072" max="2072" width="7.0703125" style="71" customWidth="1"/>
    <col min="2073" max="2073" width="8.0703125" style="71" customWidth="1"/>
    <col min="2074" max="2076" width="7.5703125" style="71" customWidth="1"/>
    <col min="2077" max="2077" width="7.0703125" style="71" customWidth="1"/>
    <col min="2078" max="2303" width="9.140625" style="71"/>
    <col min="2304" max="2304" width="4.5" style="71" customWidth="1"/>
    <col min="2305" max="2305" width="20.5703125" style="71" customWidth="1"/>
    <col min="2306" max="2306" width="12.0703125" style="71" customWidth="1"/>
    <col min="2307" max="2307" width="12.5703125" style="71" customWidth="1"/>
    <col min="2308" max="2308" width="3.5703125" style="71" customWidth="1"/>
    <col min="2309" max="2310" width="4.0703125" style="71" customWidth="1"/>
    <col min="2311" max="2311" width="4" style="71" customWidth="1"/>
    <col min="2312" max="2312" width="16.0703125" style="71" customWidth="1"/>
    <col min="2313" max="2313" width="5.5703125" style="71" customWidth="1"/>
    <col min="2314" max="2314" width="8.5703125" style="71" customWidth="1"/>
    <col min="2315" max="2315" width="5.0703125" style="71" customWidth="1"/>
    <col min="2316" max="2317" width="4.0703125" style="71" customWidth="1"/>
    <col min="2318" max="2318" width="3.0703125" style="71" customWidth="1"/>
    <col min="2319" max="2319" width="4.5703125" style="71" customWidth="1"/>
    <col min="2320" max="2320" width="4.0703125" style="71" customWidth="1"/>
    <col min="2321" max="2321" width="4" style="71" customWidth="1"/>
    <col min="2322" max="2322" width="3" style="71" customWidth="1"/>
    <col min="2323" max="2323" width="3.5703125" style="71" customWidth="1"/>
    <col min="2324" max="2324" width="4.0703125" style="71" customWidth="1"/>
    <col min="2325" max="2325" width="3.5" style="71" customWidth="1"/>
    <col min="2326" max="2326" width="4.5703125" style="71" customWidth="1"/>
    <col min="2327" max="2327" width="10.5703125" style="71" customWidth="1"/>
    <col min="2328" max="2328" width="7.0703125" style="71" customWidth="1"/>
    <col min="2329" max="2329" width="8.0703125" style="71" customWidth="1"/>
    <col min="2330" max="2332" width="7.5703125" style="71" customWidth="1"/>
    <col min="2333" max="2333" width="7.0703125" style="71" customWidth="1"/>
    <col min="2334" max="2559" width="9.140625" style="71"/>
    <col min="2560" max="2560" width="4.5" style="71" customWidth="1"/>
    <col min="2561" max="2561" width="20.5703125" style="71" customWidth="1"/>
    <col min="2562" max="2562" width="12.0703125" style="71" customWidth="1"/>
    <col min="2563" max="2563" width="12.5703125" style="71" customWidth="1"/>
    <col min="2564" max="2564" width="3.5703125" style="71" customWidth="1"/>
    <col min="2565" max="2566" width="4.0703125" style="71" customWidth="1"/>
    <col min="2567" max="2567" width="4" style="71" customWidth="1"/>
    <col min="2568" max="2568" width="16.0703125" style="71" customWidth="1"/>
    <col min="2569" max="2569" width="5.5703125" style="71" customWidth="1"/>
    <col min="2570" max="2570" width="8.5703125" style="71" customWidth="1"/>
    <col min="2571" max="2571" width="5.0703125" style="71" customWidth="1"/>
    <col min="2572" max="2573" width="4.0703125" style="71" customWidth="1"/>
    <col min="2574" max="2574" width="3.0703125" style="71" customWidth="1"/>
    <col min="2575" max="2575" width="4.5703125" style="71" customWidth="1"/>
    <col min="2576" max="2576" width="4.0703125" style="71" customWidth="1"/>
    <col min="2577" max="2577" width="4" style="71" customWidth="1"/>
    <col min="2578" max="2578" width="3" style="71" customWidth="1"/>
    <col min="2579" max="2579" width="3.5703125" style="71" customWidth="1"/>
    <col min="2580" max="2580" width="4.0703125" style="71" customWidth="1"/>
    <col min="2581" max="2581" width="3.5" style="71" customWidth="1"/>
    <col min="2582" max="2582" width="4.5703125" style="71" customWidth="1"/>
    <col min="2583" max="2583" width="10.5703125" style="71" customWidth="1"/>
    <col min="2584" max="2584" width="7.0703125" style="71" customWidth="1"/>
    <col min="2585" max="2585" width="8.0703125" style="71" customWidth="1"/>
    <col min="2586" max="2588" width="7.5703125" style="71" customWidth="1"/>
    <col min="2589" max="2589" width="7.0703125" style="71" customWidth="1"/>
    <col min="2590" max="2815" width="9.140625" style="71"/>
    <col min="2816" max="2816" width="4.5" style="71" customWidth="1"/>
    <col min="2817" max="2817" width="20.5703125" style="71" customWidth="1"/>
    <col min="2818" max="2818" width="12.0703125" style="71" customWidth="1"/>
    <col min="2819" max="2819" width="12.5703125" style="71" customWidth="1"/>
    <col min="2820" max="2820" width="3.5703125" style="71" customWidth="1"/>
    <col min="2821" max="2822" width="4.0703125" style="71" customWidth="1"/>
    <col min="2823" max="2823" width="4" style="71" customWidth="1"/>
    <col min="2824" max="2824" width="16.0703125" style="71" customWidth="1"/>
    <col min="2825" max="2825" width="5.5703125" style="71" customWidth="1"/>
    <col min="2826" max="2826" width="8.5703125" style="71" customWidth="1"/>
    <col min="2827" max="2827" width="5.0703125" style="71" customWidth="1"/>
    <col min="2828" max="2829" width="4.0703125" style="71" customWidth="1"/>
    <col min="2830" max="2830" width="3.0703125" style="71" customWidth="1"/>
    <col min="2831" max="2831" width="4.5703125" style="71" customWidth="1"/>
    <col min="2832" max="2832" width="4.0703125" style="71" customWidth="1"/>
    <col min="2833" max="2833" width="4" style="71" customWidth="1"/>
    <col min="2834" max="2834" width="3" style="71" customWidth="1"/>
    <col min="2835" max="2835" width="3.5703125" style="71" customWidth="1"/>
    <col min="2836" max="2836" width="4.0703125" style="71" customWidth="1"/>
    <col min="2837" max="2837" width="3.5" style="71" customWidth="1"/>
    <col min="2838" max="2838" width="4.5703125" style="71" customWidth="1"/>
    <col min="2839" max="2839" width="10.5703125" style="71" customWidth="1"/>
    <col min="2840" max="2840" width="7.0703125" style="71" customWidth="1"/>
    <col min="2841" max="2841" width="8.0703125" style="71" customWidth="1"/>
    <col min="2842" max="2844" width="7.5703125" style="71" customWidth="1"/>
    <col min="2845" max="2845" width="7.0703125" style="71" customWidth="1"/>
    <col min="2846" max="3071" width="9.140625" style="71"/>
    <col min="3072" max="3072" width="4.5" style="71" customWidth="1"/>
    <col min="3073" max="3073" width="20.5703125" style="71" customWidth="1"/>
    <col min="3074" max="3074" width="12.0703125" style="71" customWidth="1"/>
    <col min="3075" max="3075" width="12.5703125" style="71" customWidth="1"/>
    <col min="3076" max="3076" width="3.5703125" style="71" customWidth="1"/>
    <col min="3077" max="3078" width="4.0703125" style="71" customWidth="1"/>
    <col min="3079" max="3079" width="4" style="71" customWidth="1"/>
    <col min="3080" max="3080" width="16.0703125" style="71" customWidth="1"/>
    <col min="3081" max="3081" width="5.5703125" style="71" customWidth="1"/>
    <col min="3082" max="3082" width="8.5703125" style="71" customWidth="1"/>
    <col min="3083" max="3083" width="5.0703125" style="71" customWidth="1"/>
    <col min="3084" max="3085" width="4.0703125" style="71" customWidth="1"/>
    <col min="3086" max="3086" width="3.0703125" style="71" customWidth="1"/>
    <col min="3087" max="3087" width="4.5703125" style="71" customWidth="1"/>
    <col min="3088" max="3088" width="4.0703125" style="71" customWidth="1"/>
    <col min="3089" max="3089" width="4" style="71" customWidth="1"/>
    <col min="3090" max="3090" width="3" style="71" customWidth="1"/>
    <col min="3091" max="3091" width="3.5703125" style="71" customWidth="1"/>
    <col min="3092" max="3092" width="4.0703125" style="71" customWidth="1"/>
    <col min="3093" max="3093" width="3.5" style="71" customWidth="1"/>
    <col min="3094" max="3094" width="4.5703125" style="71" customWidth="1"/>
    <col min="3095" max="3095" width="10.5703125" style="71" customWidth="1"/>
    <col min="3096" max="3096" width="7.0703125" style="71" customWidth="1"/>
    <col min="3097" max="3097" width="8.0703125" style="71" customWidth="1"/>
    <col min="3098" max="3100" width="7.5703125" style="71" customWidth="1"/>
    <col min="3101" max="3101" width="7.0703125" style="71" customWidth="1"/>
    <col min="3102" max="3327" width="9.140625" style="71"/>
    <col min="3328" max="3328" width="4.5" style="71" customWidth="1"/>
    <col min="3329" max="3329" width="20.5703125" style="71" customWidth="1"/>
    <col min="3330" max="3330" width="12.0703125" style="71" customWidth="1"/>
    <col min="3331" max="3331" width="12.5703125" style="71" customWidth="1"/>
    <col min="3332" max="3332" width="3.5703125" style="71" customWidth="1"/>
    <col min="3333" max="3334" width="4.0703125" style="71" customWidth="1"/>
    <col min="3335" max="3335" width="4" style="71" customWidth="1"/>
    <col min="3336" max="3336" width="16.0703125" style="71" customWidth="1"/>
    <col min="3337" max="3337" width="5.5703125" style="71" customWidth="1"/>
    <col min="3338" max="3338" width="8.5703125" style="71" customWidth="1"/>
    <col min="3339" max="3339" width="5.0703125" style="71" customWidth="1"/>
    <col min="3340" max="3341" width="4.0703125" style="71" customWidth="1"/>
    <col min="3342" max="3342" width="3.0703125" style="71" customWidth="1"/>
    <col min="3343" max="3343" width="4.5703125" style="71" customWidth="1"/>
    <col min="3344" max="3344" width="4.0703125" style="71" customWidth="1"/>
    <col min="3345" max="3345" width="4" style="71" customWidth="1"/>
    <col min="3346" max="3346" width="3" style="71" customWidth="1"/>
    <col min="3347" max="3347" width="3.5703125" style="71" customWidth="1"/>
    <col min="3348" max="3348" width="4.0703125" style="71" customWidth="1"/>
    <col min="3349" max="3349" width="3.5" style="71" customWidth="1"/>
    <col min="3350" max="3350" width="4.5703125" style="71" customWidth="1"/>
    <col min="3351" max="3351" width="10.5703125" style="71" customWidth="1"/>
    <col min="3352" max="3352" width="7.0703125" style="71" customWidth="1"/>
    <col min="3353" max="3353" width="8.0703125" style="71" customWidth="1"/>
    <col min="3354" max="3356" width="7.5703125" style="71" customWidth="1"/>
    <col min="3357" max="3357" width="7.0703125" style="71" customWidth="1"/>
    <col min="3358" max="3583" width="9.140625" style="71"/>
    <col min="3584" max="3584" width="4.5" style="71" customWidth="1"/>
    <col min="3585" max="3585" width="20.5703125" style="71" customWidth="1"/>
    <col min="3586" max="3586" width="12.0703125" style="71" customWidth="1"/>
    <col min="3587" max="3587" width="12.5703125" style="71" customWidth="1"/>
    <col min="3588" max="3588" width="3.5703125" style="71" customWidth="1"/>
    <col min="3589" max="3590" width="4.0703125" style="71" customWidth="1"/>
    <col min="3591" max="3591" width="4" style="71" customWidth="1"/>
    <col min="3592" max="3592" width="16.0703125" style="71" customWidth="1"/>
    <col min="3593" max="3593" width="5.5703125" style="71" customWidth="1"/>
    <col min="3594" max="3594" width="8.5703125" style="71" customWidth="1"/>
    <col min="3595" max="3595" width="5.0703125" style="71" customWidth="1"/>
    <col min="3596" max="3597" width="4.0703125" style="71" customWidth="1"/>
    <col min="3598" max="3598" width="3.0703125" style="71" customWidth="1"/>
    <col min="3599" max="3599" width="4.5703125" style="71" customWidth="1"/>
    <col min="3600" max="3600" width="4.0703125" style="71" customWidth="1"/>
    <col min="3601" max="3601" width="4" style="71" customWidth="1"/>
    <col min="3602" max="3602" width="3" style="71" customWidth="1"/>
    <col min="3603" max="3603" width="3.5703125" style="71" customWidth="1"/>
    <col min="3604" max="3604" width="4.0703125" style="71" customWidth="1"/>
    <col min="3605" max="3605" width="3.5" style="71" customWidth="1"/>
    <col min="3606" max="3606" width="4.5703125" style="71" customWidth="1"/>
    <col min="3607" max="3607" width="10.5703125" style="71" customWidth="1"/>
    <col min="3608" max="3608" width="7.0703125" style="71" customWidth="1"/>
    <col min="3609" max="3609" width="8.0703125" style="71" customWidth="1"/>
    <col min="3610" max="3612" width="7.5703125" style="71" customWidth="1"/>
    <col min="3613" max="3613" width="7.0703125" style="71" customWidth="1"/>
    <col min="3614" max="3839" width="9.140625" style="71"/>
    <col min="3840" max="3840" width="4.5" style="71" customWidth="1"/>
    <col min="3841" max="3841" width="20.5703125" style="71" customWidth="1"/>
    <col min="3842" max="3842" width="12.0703125" style="71" customWidth="1"/>
    <col min="3843" max="3843" width="12.5703125" style="71" customWidth="1"/>
    <col min="3844" max="3844" width="3.5703125" style="71" customWidth="1"/>
    <col min="3845" max="3846" width="4.0703125" style="71" customWidth="1"/>
    <col min="3847" max="3847" width="4" style="71" customWidth="1"/>
    <col min="3848" max="3848" width="16.0703125" style="71" customWidth="1"/>
    <col min="3849" max="3849" width="5.5703125" style="71" customWidth="1"/>
    <col min="3850" max="3850" width="8.5703125" style="71" customWidth="1"/>
    <col min="3851" max="3851" width="5.0703125" style="71" customWidth="1"/>
    <col min="3852" max="3853" width="4.0703125" style="71" customWidth="1"/>
    <col min="3854" max="3854" width="3.0703125" style="71" customWidth="1"/>
    <col min="3855" max="3855" width="4.5703125" style="71" customWidth="1"/>
    <col min="3856" max="3856" width="4.0703125" style="71" customWidth="1"/>
    <col min="3857" max="3857" width="4" style="71" customWidth="1"/>
    <col min="3858" max="3858" width="3" style="71" customWidth="1"/>
    <col min="3859" max="3859" width="3.5703125" style="71" customWidth="1"/>
    <col min="3860" max="3860" width="4.0703125" style="71" customWidth="1"/>
    <col min="3861" max="3861" width="3.5" style="71" customWidth="1"/>
    <col min="3862" max="3862" width="4.5703125" style="71" customWidth="1"/>
    <col min="3863" max="3863" width="10.5703125" style="71" customWidth="1"/>
    <col min="3864" max="3864" width="7.0703125" style="71" customWidth="1"/>
    <col min="3865" max="3865" width="8.0703125" style="71" customWidth="1"/>
    <col min="3866" max="3868" width="7.5703125" style="71" customWidth="1"/>
    <col min="3869" max="3869" width="7.0703125" style="71" customWidth="1"/>
    <col min="3870" max="4095" width="9.140625" style="71"/>
    <col min="4096" max="4096" width="4.5" style="71" customWidth="1"/>
    <col min="4097" max="4097" width="20.5703125" style="71" customWidth="1"/>
    <col min="4098" max="4098" width="12.0703125" style="71" customWidth="1"/>
    <col min="4099" max="4099" width="12.5703125" style="71" customWidth="1"/>
    <col min="4100" max="4100" width="3.5703125" style="71" customWidth="1"/>
    <col min="4101" max="4102" width="4.0703125" style="71" customWidth="1"/>
    <col min="4103" max="4103" width="4" style="71" customWidth="1"/>
    <col min="4104" max="4104" width="16.0703125" style="71" customWidth="1"/>
    <col min="4105" max="4105" width="5.5703125" style="71" customWidth="1"/>
    <col min="4106" max="4106" width="8.5703125" style="71" customWidth="1"/>
    <col min="4107" max="4107" width="5.0703125" style="71" customWidth="1"/>
    <col min="4108" max="4109" width="4.0703125" style="71" customWidth="1"/>
    <col min="4110" max="4110" width="3.0703125" style="71" customWidth="1"/>
    <col min="4111" max="4111" width="4.5703125" style="71" customWidth="1"/>
    <col min="4112" max="4112" width="4.0703125" style="71" customWidth="1"/>
    <col min="4113" max="4113" width="4" style="71" customWidth="1"/>
    <col min="4114" max="4114" width="3" style="71" customWidth="1"/>
    <col min="4115" max="4115" width="3.5703125" style="71" customWidth="1"/>
    <col min="4116" max="4116" width="4.0703125" style="71" customWidth="1"/>
    <col min="4117" max="4117" width="3.5" style="71" customWidth="1"/>
    <col min="4118" max="4118" width="4.5703125" style="71" customWidth="1"/>
    <col min="4119" max="4119" width="10.5703125" style="71" customWidth="1"/>
    <col min="4120" max="4120" width="7.0703125" style="71" customWidth="1"/>
    <col min="4121" max="4121" width="8.0703125" style="71" customWidth="1"/>
    <col min="4122" max="4124" width="7.5703125" style="71" customWidth="1"/>
    <col min="4125" max="4125" width="7.0703125" style="71" customWidth="1"/>
    <col min="4126" max="4351" width="9.140625" style="71"/>
    <col min="4352" max="4352" width="4.5" style="71" customWidth="1"/>
    <col min="4353" max="4353" width="20.5703125" style="71" customWidth="1"/>
    <col min="4354" max="4354" width="12.0703125" style="71" customWidth="1"/>
    <col min="4355" max="4355" width="12.5703125" style="71" customWidth="1"/>
    <col min="4356" max="4356" width="3.5703125" style="71" customWidth="1"/>
    <col min="4357" max="4358" width="4.0703125" style="71" customWidth="1"/>
    <col min="4359" max="4359" width="4" style="71" customWidth="1"/>
    <col min="4360" max="4360" width="16.0703125" style="71" customWidth="1"/>
    <col min="4361" max="4361" width="5.5703125" style="71" customWidth="1"/>
    <col min="4362" max="4362" width="8.5703125" style="71" customWidth="1"/>
    <col min="4363" max="4363" width="5.0703125" style="71" customWidth="1"/>
    <col min="4364" max="4365" width="4.0703125" style="71" customWidth="1"/>
    <col min="4366" max="4366" width="3.0703125" style="71" customWidth="1"/>
    <col min="4367" max="4367" width="4.5703125" style="71" customWidth="1"/>
    <col min="4368" max="4368" width="4.0703125" style="71" customWidth="1"/>
    <col min="4369" max="4369" width="4" style="71" customWidth="1"/>
    <col min="4370" max="4370" width="3" style="71" customWidth="1"/>
    <col min="4371" max="4371" width="3.5703125" style="71" customWidth="1"/>
    <col min="4372" max="4372" width="4.0703125" style="71" customWidth="1"/>
    <col min="4373" max="4373" width="3.5" style="71" customWidth="1"/>
    <col min="4374" max="4374" width="4.5703125" style="71" customWidth="1"/>
    <col min="4375" max="4375" width="10.5703125" style="71" customWidth="1"/>
    <col min="4376" max="4376" width="7.0703125" style="71" customWidth="1"/>
    <col min="4377" max="4377" width="8.0703125" style="71" customWidth="1"/>
    <col min="4378" max="4380" width="7.5703125" style="71" customWidth="1"/>
    <col min="4381" max="4381" width="7.0703125" style="71" customWidth="1"/>
    <col min="4382" max="4607" width="9.140625" style="71"/>
    <col min="4608" max="4608" width="4.5" style="71" customWidth="1"/>
    <col min="4609" max="4609" width="20.5703125" style="71" customWidth="1"/>
    <col min="4610" max="4610" width="12.0703125" style="71" customWidth="1"/>
    <col min="4611" max="4611" width="12.5703125" style="71" customWidth="1"/>
    <col min="4612" max="4612" width="3.5703125" style="71" customWidth="1"/>
    <col min="4613" max="4614" width="4.0703125" style="71" customWidth="1"/>
    <col min="4615" max="4615" width="4" style="71" customWidth="1"/>
    <col min="4616" max="4616" width="16.0703125" style="71" customWidth="1"/>
    <col min="4617" max="4617" width="5.5703125" style="71" customWidth="1"/>
    <col min="4618" max="4618" width="8.5703125" style="71" customWidth="1"/>
    <col min="4619" max="4619" width="5.0703125" style="71" customWidth="1"/>
    <col min="4620" max="4621" width="4.0703125" style="71" customWidth="1"/>
    <col min="4622" max="4622" width="3.0703125" style="71" customWidth="1"/>
    <col min="4623" max="4623" width="4.5703125" style="71" customWidth="1"/>
    <col min="4624" max="4624" width="4.0703125" style="71" customWidth="1"/>
    <col min="4625" max="4625" width="4" style="71" customWidth="1"/>
    <col min="4626" max="4626" width="3" style="71" customWidth="1"/>
    <col min="4627" max="4627" width="3.5703125" style="71" customWidth="1"/>
    <col min="4628" max="4628" width="4.0703125" style="71" customWidth="1"/>
    <col min="4629" max="4629" width="3.5" style="71" customWidth="1"/>
    <col min="4630" max="4630" width="4.5703125" style="71" customWidth="1"/>
    <col min="4631" max="4631" width="10.5703125" style="71" customWidth="1"/>
    <col min="4632" max="4632" width="7.0703125" style="71" customWidth="1"/>
    <col min="4633" max="4633" width="8.0703125" style="71" customWidth="1"/>
    <col min="4634" max="4636" width="7.5703125" style="71" customWidth="1"/>
    <col min="4637" max="4637" width="7.0703125" style="71" customWidth="1"/>
    <col min="4638" max="4863" width="9.140625" style="71"/>
    <col min="4864" max="4864" width="4.5" style="71" customWidth="1"/>
    <col min="4865" max="4865" width="20.5703125" style="71" customWidth="1"/>
    <col min="4866" max="4866" width="12.0703125" style="71" customWidth="1"/>
    <col min="4867" max="4867" width="12.5703125" style="71" customWidth="1"/>
    <col min="4868" max="4868" width="3.5703125" style="71" customWidth="1"/>
    <col min="4869" max="4870" width="4.0703125" style="71" customWidth="1"/>
    <col min="4871" max="4871" width="4" style="71" customWidth="1"/>
    <col min="4872" max="4872" width="16.0703125" style="71" customWidth="1"/>
    <col min="4873" max="4873" width="5.5703125" style="71" customWidth="1"/>
    <col min="4874" max="4874" width="8.5703125" style="71" customWidth="1"/>
    <col min="4875" max="4875" width="5.0703125" style="71" customWidth="1"/>
    <col min="4876" max="4877" width="4.0703125" style="71" customWidth="1"/>
    <col min="4878" max="4878" width="3.0703125" style="71" customWidth="1"/>
    <col min="4879" max="4879" width="4.5703125" style="71" customWidth="1"/>
    <col min="4880" max="4880" width="4.0703125" style="71" customWidth="1"/>
    <col min="4881" max="4881" width="4" style="71" customWidth="1"/>
    <col min="4882" max="4882" width="3" style="71" customWidth="1"/>
    <col min="4883" max="4883" width="3.5703125" style="71" customWidth="1"/>
    <col min="4884" max="4884" width="4.0703125" style="71" customWidth="1"/>
    <col min="4885" max="4885" width="3.5" style="71" customWidth="1"/>
    <col min="4886" max="4886" width="4.5703125" style="71" customWidth="1"/>
    <col min="4887" max="4887" width="10.5703125" style="71" customWidth="1"/>
    <col min="4888" max="4888" width="7.0703125" style="71" customWidth="1"/>
    <col min="4889" max="4889" width="8.0703125" style="71" customWidth="1"/>
    <col min="4890" max="4892" width="7.5703125" style="71" customWidth="1"/>
    <col min="4893" max="4893" width="7.0703125" style="71" customWidth="1"/>
    <col min="4894" max="5119" width="9.140625" style="71"/>
    <col min="5120" max="5120" width="4.5" style="71" customWidth="1"/>
    <col min="5121" max="5121" width="20.5703125" style="71" customWidth="1"/>
    <col min="5122" max="5122" width="12.0703125" style="71" customWidth="1"/>
    <col min="5123" max="5123" width="12.5703125" style="71" customWidth="1"/>
    <col min="5124" max="5124" width="3.5703125" style="71" customWidth="1"/>
    <col min="5125" max="5126" width="4.0703125" style="71" customWidth="1"/>
    <col min="5127" max="5127" width="4" style="71" customWidth="1"/>
    <col min="5128" max="5128" width="16.0703125" style="71" customWidth="1"/>
    <col min="5129" max="5129" width="5.5703125" style="71" customWidth="1"/>
    <col min="5130" max="5130" width="8.5703125" style="71" customWidth="1"/>
    <col min="5131" max="5131" width="5.0703125" style="71" customWidth="1"/>
    <col min="5132" max="5133" width="4.0703125" style="71" customWidth="1"/>
    <col min="5134" max="5134" width="3.0703125" style="71" customWidth="1"/>
    <col min="5135" max="5135" width="4.5703125" style="71" customWidth="1"/>
    <col min="5136" max="5136" width="4.0703125" style="71" customWidth="1"/>
    <col min="5137" max="5137" width="4" style="71" customWidth="1"/>
    <col min="5138" max="5138" width="3" style="71" customWidth="1"/>
    <col min="5139" max="5139" width="3.5703125" style="71" customWidth="1"/>
    <col min="5140" max="5140" width="4.0703125" style="71" customWidth="1"/>
    <col min="5141" max="5141" width="3.5" style="71" customWidth="1"/>
    <col min="5142" max="5142" width="4.5703125" style="71" customWidth="1"/>
    <col min="5143" max="5143" width="10.5703125" style="71" customWidth="1"/>
    <col min="5144" max="5144" width="7.0703125" style="71" customWidth="1"/>
    <col min="5145" max="5145" width="8.0703125" style="71" customWidth="1"/>
    <col min="5146" max="5148" width="7.5703125" style="71" customWidth="1"/>
    <col min="5149" max="5149" width="7.0703125" style="71" customWidth="1"/>
    <col min="5150" max="5375" width="9.140625" style="71"/>
    <col min="5376" max="5376" width="4.5" style="71" customWidth="1"/>
    <col min="5377" max="5377" width="20.5703125" style="71" customWidth="1"/>
    <col min="5378" max="5378" width="12.0703125" style="71" customWidth="1"/>
    <col min="5379" max="5379" width="12.5703125" style="71" customWidth="1"/>
    <col min="5380" max="5380" width="3.5703125" style="71" customWidth="1"/>
    <col min="5381" max="5382" width="4.0703125" style="71" customWidth="1"/>
    <col min="5383" max="5383" width="4" style="71" customWidth="1"/>
    <col min="5384" max="5384" width="16.0703125" style="71" customWidth="1"/>
    <col min="5385" max="5385" width="5.5703125" style="71" customWidth="1"/>
    <col min="5386" max="5386" width="8.5703125" style="71" customWidth="1"/>
    <col min="5387" max="5387" width="5.0703125" style="71" customWidth="1"/>
    <col min="5388" max="5389" width="4.0703125" style="71" customWidth="1"/>
    <col min="5390" max="5390" width="3.0703125" style="71" customWidth="1"/>
    <col min="5391" max="5391" width="4.5703125" style="71" customWidth="1"/>
    <col min="5392" max="5392" width="4.0703125" style="71" customWidth="1"/>
    <col min="5393" max="5393" width="4" style="71" customWidth="1"/>
    <col min="5394" max="5394" width="3" style="71" customWidth="1"/>
    <col min="5395" max="5395" width="3.5703125" style="71" customWidth="1"/>
    <col min="5396" max="5396" width="4.0703125" style="71" customWidth="1"/>
    <col min="5397" max="5397" width="3.5" style="71" customWidth="1"/>
    <col min="5398" max="5398" width="4.5703125" style="71" customWidth="1"/>
    <col min="5399" max="5399" width="10.5703125" style="71" customWidth="1"/>
    <col min="5400" max="5400" width="7.0703125" style="71" customWidth="1"/>
    <col min="5401" max="5401" width="8.0703125" style="71" customWidth="1"/>
    <col min="5402" max="5404" width="7.5703125" style="71" customWidth="1"/>
    <col min="5405" max="5405" width="7.0703125" style="71" customWidth="1"/>
    <col min="5406" max="5631" width="9.140625" style="71"/>
    <col min="5632" max="5632" width="4.5" style="71" customWidth="1"/>
    <col min="5633" max="5633" width="20.5703125" style="71" customWidth="1"/>
    <col min="5634" max="5634" width="12.0703125" style="71" customWidth="1"/>
    <col min="5635" max="5635" width="12.5703125" style="71" customWidth="1"/>
    <col min="5636" max="5636" width="3.5703125" style="71" customWidth="1"/>
    <col min="5637" max="5638" width="4.0703125" style="71" customWidth="1"/>
    <col min="5639" max="5639" width="4" style="71" customWidth="1"/>
    <col min="5640" max="5640" width="16.0703125" style="71" customWidth="1"/>
    <col min="5641" max="5641" width="5.5703125" style="71" customWidth="1"/>
    <col min="5642" max="5642" width="8.5703125" style="71" customWidth="1"/>
    <col min="5643" max="5643" width="5.0703125" style="71" customWidth="1"/>
    <col min="5644" max="5645" width="4.0703125" style="71" customWidth="1"/>
    <col min="5646" max="5646" width="3.0703125" style="71" customWidth="1"/>
    <col min="5647" max="5647" width="4.5703125" style="71" customWidth="1"/>
    <col min="5648" max="5648" width="4.0703125" style="71" customWidth="1"/>
    <col min="5649" max="5649" width="4" style="71" customWidth="1"/>
    <col min="5650" max="5650" width="3" style="71" customWidth="1"/>
    <col min="5651" max="5651" width="3.5703125" style="71" customWidth="1"/>
    <col min="5652" max="5652" width="4.0703125" style="71" customWidth="1"/>
    <col min="5653" max="5653" width="3.5" style="71" customWidth="1"/>
    <col min="5654" max="5654" width="4.5703125" style="71" customWidth="1"/>
    <col min="5655" max="5655" width="10.5703125" style="71" customWidth="1"/>
    <col min="5656" max="5656" width="7.0703125" style="71" customWidth="1"/>
    <col min="5657" max="5657" width="8.0703125" style="71" customWidth="1"/>
    <col min="5658" max="5660" width="7.5703125" style="71" customWidth="1"/>
    <col min="5661" max="5661" width="7.0703125" style="71" customWidth="1"/>
    <col min="5662" max="5887" width="9.140625" style="71"/>
    <col min="5888" max="5888" width="4.5" style="71" customWidth="1"/>
    <col min="5889" max="5889" width="20.5703125" style="71" customWidth="1"/>
    <col min="5890" max="5890" width="12.0703125" style="71" customWidth="1"/>
    <col min="5891" max="5891" width="12.5703125" style="71" customWidth="1"/>
    <col min="5892" max="5892" width="3.5703125" style="71" customWidth="1"/>
    <col min="5893" max="5894" width="4.0703125" style="71" customWidth="1"/>
    <col min="5895" max="5895" width="4" style="71" customWidth="1"/>
    <col min="5896" max="5896" width="16.0703125" style="71" customWidth="1"/>
    <col min="5897" max="5897" width="5.5703125" style="71" customWidth="1"/>
    <col min="5898" max="5898" width="8.5703125" style="71" customWidth="1"/>
    <col min="5899" max="5899" width="5.0703125" style="71" customWidth="1"/>
    <col min="5900" max="5901" width="4.0703125" style="71" customWidth="1"/>
    <col min="5902" max="5902" width="3.0703125" style="71" customWidth="1"/>
    <col min="5903" max="5903" width="4.5703125" style="71" customWidth="1"/>
    <col min="5904" max="5904" width="4.0703125" style="71" customWidth="1"/>
    <col min="5905" max="5905" width="4" style="71" customWidth="1"/>
    <col min="5906" max="5906" width="3" style="71" customWidth="1"/>
    <col min="5907" max="5907" width="3.5703125" style="71" customWidth="1"/>
    <col min="5908" max="5908" width="4.0703125" style="71" customWidth="1"/>
    <col min="5909" max="5909" width="3.5" style="71" customWidth="1"/>
    <col min="5910" max="5910" width="4.5703125" style="71" customWidth="1"/>
    <col min="5911" max="5911" width="10.5703125" style="71" customWidth="1"/>
    <col min="5912" max="5912" width="7.0703125" style="71" customWidth="1"/>
    <col min="5913" max="5913" width="8.0703125" style="71" customWidth="1"/>
    <col min="5914" max="5916" width="7.5703125" style="71" customWidth="1"/>
    <col min="5917" max="5917" width="7.0703125" style="71" customWidth="1"/>
    <col min="5918" max="6143" width="9.140625" style="71"/>
    <col min="6144" max="6144" width="4.5" style="71" customWidth="1"/>
    <col min="6145" max="6145" width="20.5703125" style="71" customWidth="1"/>
    <col min="6146" max="6146" width="12.0703125" style="71" customWidth="1"/>
    <col min="6147" max="6147" width="12.5703125" style="71" customWidth="1"/>
    <col min="6148" max="6148" width="3.5703125" style="71" customWidth="1"/>
    <col min="6149" max="6150" width="4.0703125" style="71" customWidth="1"/>
    <col min="6151" max="6151" width="4" style="71" customWidth="1"/>
    <col min="6152" max="6152" width="16.0703125" style="71" customWidth="1"/>
    <col min="6153" max="6153" width="5.5703125" style="71" customWidth="1"/>
    <col min="6154" max="6154" width="8.5703125" style="71" customWidth="1"/>
    <col min="6155" max="6155" width="5.0703125" style="71" customWidth="1"/>
    <col min="6156" max="6157" width="4.0703125" style="71" customWidth="1"/>
    <col min="6158" max="6158" width="3.0703125" style="71" customWidth="1"/>
    <col min="6159" max="6159" width="4.5703125" style="71" customWidth="1"/>
    <col min="6160" max="6160" width="4.0703125" style="71" customWidth="1"/>
    <col min="6161" max="6161" width="4" style="71" customWidth="1"/>
    <col min="6162" max="6162" width="3" style="71" customWidth="1"/>
    <col min="6163" max="6163" width="3.5703125" style="71" customWidth="1"/>
    <col min="6164" max="6164" width="4.0703125" style="71" customWidth="1"/>
    <col min="6165" max="6165" width="3.5" style="71" customWidth="1"/>
    <col min="6166" max="6166" width="4.5703125" style="71" customWidth="1"/>
    <col min="6167" max="6167" width="10.5703125" style="71" customWidth="1"/>
    <col min="6168" max="6168" width="7.0703125" style="71" customWidth="1"/>
    <col min="6169" max="6169" width="8.0703125" style="71" customWidth="1"/>
    <col min="6170" max="6172" width="7.5703125" style="71" customWidth="1"/>
    <col min="6173" max="6173" width="7.0703125" style="71" customWidth="1"/>
    <col min="6174" max="6399" width="9.140625" style="71"/>
    <col min="6400" max="6400" width="4.5" style="71" customWidth="1"/>
    <col min="6401" max="6401" width="20.5703125" style="71" customWidth="1"/>
    <col min="6402" max="6402" width="12.0703125" style="71" customWidth="1"/>
    <col min="6403" max="6403" width="12.5703125" style="71" customWidth="1"/>
    <col min="6404" max="6404" width="3.5703125" style="71" customWidth="1"/>
    <col min="6405" max="6406" width="4.0703125" style="71" customWidth="1"/>
    <col min="6407" max="6407" width="4" style="71" customWidth="1"/>
    <col min="6408" max="6408" width="16.0703125" style="71" customWidth="1"/>
    <col min="6409" max="6409" width="5.5703125" style="71" customWidth="1"/>
    <col min="6410" max="6410" width="8.5703125" style="71" customWidth="1"/>
    <col min="6411" max="6411" width="5.0703125" style="71" customWidth="1"/>
    <col min="6412" max="6413" width="4.0703125" style="71" customWidth="1"/>
    <col min="6414" max="6414" width="3.0703125" style="71" customWidth="1"/>
    <col min="6415" max="6415" width="4.5703125" style="71" customWidth="1"/>
    <col min="6416" max="6416" width="4.0703125" style="71" customWidth="1"/>
    <col min="6417" max="6417" width="4" style="71" customWidth="1"/>
    <col min="6418" max="6418" width="3" style="71" customWidth="1"/>
    <col min="6419" max="6419" width="3.5703125" style="71" customWidth="1"/>
    <col min="6420" max="6420" width="4.0703125" style="71" customWidth="1"/>
    <col min="6421" max="6421" width="3.5" style="71" customWidth="1"/>
    <col min="6422" max="6422" width="4.5703125" style="71" customWidth="1"/>
    <col min="6423" max="6423" width="10.5703125" style="71" customWidth="1"/>
    <col min="6424" max="6424" width="7.0703125" style="71" customWidth="1"/>
    <col min="6425" max="6425" width="8.0703125" style="71" customWidth="1"/>
    <col min="6426" max="6428" width="7.5703125" style="71" customWidth="1"/>
    <col min="6429" max="6429" width="7.0703125" style="71" customWidth="1"/>
    <col min="6430" max="6655" width="9.140625" style="71"/>
    <col min="6656" max="6656" width="4.5" style="71" customWidth="1"/>
    <col min="6657" max="6657" width="20.5703125" style="71" customWidth="1"/>
    <col min="6658" max="6658" width="12.0703125" style="71" customWidth="1"/>
    <col min="6659" max="6659" width="12.5703125" style="71" customWidth="1"/>
    <col min="6660" max="6660" width="3.5703125" style="71" customWidth="1"/>
    <col min="6661" max="6662" width="4.0703125" style="71" customWidth="1"/>
    <col min="6663" max="6663" width="4" style="71" customWidth="1"/>
    <col min="6664" max="6664" width="16.0703125" style="71" customWidth="1"/>
    <col min="6665" max="6665" width="5.5703125" style="71" customWidth="1"/>
    <col min="6666" max="6666" width="8.5703125" style="71" customWidth="1"/>
    <col min="6667" max="6667" width="5.0703125" style="71" customWidth="1"/>
    <col min="6668" max="6669" width="4.0703125" style="71" customWidth="1"/>
    <col min="6670" max="6670" width="3.0703125" style="71" customWidth="1"/>
    <col min="6671" max="6671" width="4.5703125" style="71" customWidth="1"/>
    <col min="6672" max="6672" width="4.0703125" style="71" customWidth="1"/>
    <col min="6673" max="6673" width="4" style="71" customWidth="1"/>
    <col min="6674" max="6674" width="3" style="71" customWidth="1"/>
    <col min="6675" max="6675" width="3.5703125" style="71" customWidth="1"/>
    <col min="6676" max="6676" width="4.0703125" style="71" customWidth="1"/>
    <col min="6677" max="6677" width="3.5" style="71" customWidth="1"/>
    <col min="6678" max="6678" width="4.5703125" style="71" customWidth="1"/>
    <col min="6679" max="6679" width="10.5703125" style="71" customWidth="1"/>
    <col min="6680" max="6680" width="7.0703125" style="71" customWidth="1"/>
    <col min="6681" max="6681" width="8.0703125" style="71" customWidth="1"/>
    <col min="6682" max="6684" width="7.5703125" style="71" customWidth="1"/>
    <col min="6685" max="6685" width="7.0703125" style="71" customWidth="1"/>
    <col min="6686" max="6911" width="9.140625" style="71"/>
    <col min="6912" max="6912" width="4.5" style="71" customWidth="1"/>
    <col min="6913" max="6913" width="20.5703125" style="71" customWidth="1"/>
    <col min="6914" max="6914" width="12.0703125" style="71" customWidth="1"/>
    <col min="6915" max="6915" width="12.5703125" style="71" customWidth="1"/>
    <col min="6916" max="6916" width="3.5703125" style="71" customWidth="1"/>
    <col min="6917" max="6918" width="4.0703125" style="71" customWidth="1"/>
    <col min="6919" max="6919" width="4" style="71" customWidth="1"/>
    <col min="6920" max="6920" width="16.0703125" style="71" customWidth="1"/>
    <col min="6921" max="6921" width="5.5703125" style="71" customWidth="1"/>
    <col min="6922" max="6922" width="8.5703125" style="71" customWidth="1"/>
    <col min="6923" max="6923" width="5.0703125" style="71" customWidth="1"/>
    <col min="6924" max="6925" width="4.0703125" style="71" customWidth="1"/>
    <col min="6926" max="6926" width="3.0703125" style="71" customWidth="1"/>
    <col min="6927" max="6927" width="4.5703125" style="71" customWidth="1"/>
    <col min="6928" max="6928" width="4.0703125" style="71" customWidth="1"/>
    <col min="6929" max="6929" width="4" style="71" customWidth="1"/>
    <col min="6930" max="6930" width="3" style="71" customWidth="1"/>
    <col min="6931" max="6931" width="3.5703125" style="71" customWidth="1"/>
    <col min="6932" max="6932" width="4.0703125" style="71" customWidth="1"/>
    <col min="6933" max="6933" width="3.5" style="71" customWidth="1"/>
    <col min="6934" max="6934" width="4.5703125" style="71" customWidth="1"/>
    <col min="6935" max="6935" width="10.5703125" style="71" customWidth="1"/>
    <col min="6936" max="6936" width="7.0703125" style="71" customWidth="1"/>
    <col min="6937" max="6937" width="8.0703125" style="71" customWidth="1"/>
    <col min="6938" max="6940" width="7.5703125" style="71" customWidth="1"/>
    <col min="6941" max="6941" width="7.0703125" style="71" customWidth="1"/>
    <col min="6942" max="7167" width="9.140625" style="71"/>
    <col min="7168" max="7168" width="4.5" style="71" customWidth="1"/>
    <col min="7169" max="7169" width="20.5703125" style="71" customWidth="1"/>
    <col min="7170" max="7170" width="12.0703125" style="71" customWidth="1"/>
    <col min="7171" max="7171" width="12.5703125" style="71" customWidth="1"/>
    <col min="7172" max="7172" width="3.5703125" style="71" customWidth="1"/>
    <col min="7173" max="7174" width="4.0703125" style="71" customWidth="1"/>
    <col min="7175" max="7175" width="4" style="71" customWidth="1"/>
    <col min="7176" max="7176" width="16.0703125" style="71" customWidth="1"/>
    <col min="7177" max="7177" width="5.5703125" style="71" customWidth="1"/>
    <col min="7178" max="7178" width="8.5703125" style="71" customWidth="1"/>
    <col min="7179" max="7179" width="5.0703125" style="71" customWidth="1"/>
    <col min="7180" max="7181" width="4.0703125" style="71" customWidth="1"/>
    <col min="7182" max="7182" width="3.0703125" style="71" customWidth="1"/>
    <col min="7183" max="7183" width="4.5703125" style="71" customWidth="1"/>
    <col min="7184" max="7184" width="4.0703125" style="71" customWidth="1"/>
    <col min="7185" max="7185" width="4" style="71" customWidth="1"/>
    <col min="7186" max="7186" width="3" style="71" customWidth="1"/>
    <col min="7187" max="7187" width="3.5703125" style="71" customWidth="1"/>
    <col min="7188" max="7188" width="4.0703125" style="71" customWidth="1"/>
    <col min="7189" max="7189" width="3.5" style="71" customWidth="1"/>
    <col min="7190" max="7190" width="4.5703125" style="71" customWidth="1"/>
    <col min="7191" max="7191" width="10.5703125" style="71" customWidth="1"/>
    <col min="7192" max="7192" width="7.0703125" style="71" customWidth="1"/>
    <col min="7193" max="7193" width="8.0703125" style="71" customWidth="1"/>
    <col min="7194" max="7196" width="7.5703125" style="71" customWidth="1"/>
    <col min="7197" max="7197" width="7.0703125" style="71" customWidth="1"/>
    <col min="7198" max="7423" width="9.140625" style="71"/>
    <col min="7424" max="7424" width="4.5" style="71" customWidth="1"/>
    <col min="7425" max="7425" width="20.5703125" style="71" customWidth="1"/>
    <col min="7426" max="7426" width="12.0703125" style="71" customWidth="1"/>
    <col min="7427" max="7427" width="12.5703125" style="71" customWidth="1"/>
    <col min="7428" max="7428" width="3.5703125" style="71" customWidth="1"/>
    <col min="7429" max="7430" width="4.0703125" style="71" customWidth="1"/>
    <col min="7431" max="7431" width="4" style="71" customWidth="1"/>
    <col min="7432" max="7432" width="16.0703125" style="71" customWidth="1"/>
    <col min="7433" max="7433" width="5.5703125" style="71" customWidth="1"/>
    <col min="7434" max="7434" width="8.5703125" style="71" customWidth="1"/>
    <col min="7435" max="7435" width="5.0703125" style="71" customWidth="1"/>
    <col min="7436" max="7437" width="4.0703125" style="71" customWidth="1"/>
    <col min="7438" max="7438" width="3.0703125" style="71" customWidth="1"/>
    <col min="7439" max="7439" width="4.5703125" style="71" customWidth="1"/>
    <col min="7440" max="7440" width="4.0703125" style="71" customWidth="1"/>
    <col min="7441" max="7441" width="4" style="71" customWidth="1"/>
    <col min="7442" max="7442" width="3" style="71" customWidth="1"/>
    <col min="7443" max="7443" width="3.5703125" style="71" customWidth="1"/>
    <col min="7444" max="7444" width="4.0703125" style="71" customWidth="1"/>
    <col min="7445" max="7445" width="3.5" style="71" customWidth="1"/>
    <col min="7446" max="7446" width="4.5703125" style="71" customWidth="1"/>
    <col min="7447" max="7447" width="10.5703125" style="71" customWidth="1"/>
    <col min="7448" max="7448" width="7.0703125" style="71" customWidth="1"/>
    <col min="7449" max="7449" width="8.0703125" style="71" customWidth="1"/>
    <col min="7450" max="7452" width="7.5703125" style="71" customWidth="1"/>
    <col min="7453" max="7453" width="7.0703125" style="71" customWidth="1"/>
    <col min="7454" max="7679" width="9.140625" style="71"/>
    <col min="7680" max="7680" width="4.5" style="71" customWidth="1"/>
    <col min="7681" max="7681" width="20.5703125" style="71" customWidth="1"/>
    <col min="7682" max="7682" width="12.0703125" style="71" customWidth="1"/>
    <col min="7683" max="7683" width="12.5703125" style="71" customWidth="1"/>
    <col min="7684" max="7684" width="3.5703125" style="71" customWidth="1"/>
    <col min="7685" max="7686" width="4.0703125" style="71" customWidth="1"/>
    <col min="7687" max="7687" width="4" style="71" customWidth="1"/>
    <col min="7688" max="7688" width="16.0703125" style="71" customWidth="1"/>
    <col min="7689" max="7689" width="5.5703125" style="71" customWidth="1"/>
    <col min="7690" max="7690" width="8.5703125" style="71" customWidth="1"/>
    <col min="7691" max="7691" width="5.0703125" style="71" customWidth="1"/>
    <col min="7692" max="7693" width="4.0703125" style="71" customWidth="1"/>
    <col min="7694" max="7694" width="3.0703125" style="71" customWidth="1"/>
    <col min="7695" max="7695" width="4.5703125" style="71" customWidth="1"/>
    <col min="7696" max="7696" width="4.0703125" style="71" customWidth="1"/>
    <col min="7697" max="7697" width="4" style="71" customWidth="1"/>
    <col min="7698" max="7698" width="3" style="71" customWidth="1"/>
    <col min="7699" max="7699" width="3.5703125" style="71" customWidth="1"/>
    <col min="7700" max="7700" width="4.0703125" style="71" customWidth="1"/>
    <col min="7701" max="7701" width="3.5" style="71" customWidth="1"/>
    <col min="7702" max="7702" width="4.5703125" style="71" customWidth="1"/>
    <col min="7703" max="7703" width="10.5703125" style="71" customWidth="1"/>
    <col min="7704" max="7704" width="7.0703125" style="71" customWidth="1"/>
    <col min="7705" max="7705" width="8.0703125" style="71" customWidth="1"/>
    <col min="7706" max="7708" width="7.5703125" style="71" customWidth="1"/>
    <col min="7709" max="7709" width="7.0703125" style="71" customWidth="1"/>
    <col min="7710" max="7935" width="9.140625" style="71"/>
    <col min="7936" max="7936" width="4.5" style="71" customWidth="1"/>
    <col min="7937" max="7937" width="20.5703125" style="71" customWidth="1"/>
    <col min="7938" max="7938" width="12.0703125" style="71" customWidth="1"/>
    <col min="7939" max="7939" width="12.5703125" style="71" customWidth="1"/>
    <col min="7940" max="7940" width="3.5703125" style="71" customWidth="1"/>
    <col min="7941" max="7942" width="4.0703125" style="71" customWidth="1"/>
    <col min="7943" max="7943" width="4" style="71" customWidth="1"/>
    <col min="7944" max="7944" width="16.0703125" style="71" customWidth="1"/>
    <col min="7945" max="7945" width="5.5703125" style="71" customWidth="1"/>
    <col min="7946" max="7946" width="8.5703125" style="71" customWidth="1"/>
    <col min="7947" max="7947" width="5.0703125" style="71" customWidth="1"/>
    <col min="7948" max="7949" width="4.0703125" style="71" customWidth="1"/>
    <col min="7950" max="7950" width="3.0703125" style="71" customWidth="1"/>
    <col min="7951" max="7951" width="4.5703125" style="71" customWidth="1"/>
    <col min="7952" max="7952" width="4.0703125" style="71" customWidth="1"/>
    <col min="7953" max="7953" width="4" style="71" customWidth="1"/>
    <col min="7954" max="7954" width="3" style="71" customWidth="1"/>
    <col min="7955" max="7955" width="3.5703125" style="71" customWidth="1"/>
    <col min="7956" max="7956" width="4.0703125" style="71" customWidth="1"/>
    <col min="7957" max="7957" width="3.5" style="71" customWidth="1"/>
    <col min="7958" max="7958" width="4.5703125" style="71" customWidth="1"/>
    <col min="7959" max="7959" width="10.5703125" style="71" customWidth="1"/>
    <col min="7960" max="7960" width="7.0703125" style="71" customWidth="1"/>
    <col min="7961" max="7961" width="8.0703125" style="71" customWidth="1"/>
    <col min="7962" max="7964" width="7.5703125" style="71" customWidth="1"/>
    <col min="7965" max="7965" width="7.0703125" style="71" customWidth="1"/>
    <col min="7966" max="8191" width="9.140625" style="71"/>
    <col min="8192" max="8192" width="4.5" style="71" customWidth="1"/>
    <col min="8193" max="8193" width="20.5703125" style="71" customWidth="1"/>
    <col min="8194" max="8194" width="12.0703125" style="71" customWidth="1"/>
    <col min="8195" max="8195" width="12.5703125" style="71" customWidth="1"/>
    <col min="8196" max="8196" width="3.5703125" style="71" customWidth="1"/>
    <col min="8197" max="8198" width="4.0703125" style="71" customWidth="1"/>
    <col min="8199" max="8199" width="4" style="71" customWidth="1"/>
    <col min="8200" max="8200" width="16.0703125" style="71" customWidth="1"/>
    <col min="8201" max="8201" width="5.5703125" style="71" customWidth="1"/>
    <col min="8202" max="8202" width="8.5703125" style="71" customWidth="1"/>
    <col min="8203" max="8203" width="5.0703125" style="71" customWidth="1"/>
    <col min="8204" max="8205" width="4.0703125" style="71" customWidth="1"/>
    <col min="8206" max="8206" width="3.0703125" style="71" customWidth="1"/>
    <col min="8207" max="8207" width="4.5703125" style="71" customWidth="1"/>
    <col min="8208" max="8208" width="4.0703125" style="71" customWidth="1"/>
    <col min="8209" max="8209" width="4" style="71" customWidth="1"/>
    <col min="8210" max="8210" width="3" style="71" customWidth="1"/>
    <col min="8211" max="8211" width="3.5703125" style="71" customWidth="1"/>
    <col min="8212" max="8212" width="4.0703125" style="71" customWidth="1"/>
    <col min="8213" max="8213" width="3.5" style="71" customWidth="1"/>
    <col min="8214" max="8214" width="4.5703125" style="71" customWidth="1"/>
    <col min="8215" max="8215" width="10.5703125" style="71" customWidth="1"/>
    <col min="8216" max="8216" width="7.0703125" style="71" customWidth="1"/>
    <col min="8217" max="8217" width="8.0703125" style="71" customWidth="1"/>
    <col min="8218" max="8220" width="7.5703125" style="71" customWidth="1"/>
    <col min="8221" max="8221" width="7.0703125" style="71" customWidth="1"/>
    <col min="8222" max="8447" width="9.140625" style="71"/>
    <col min="8448" max="8448" width="4.5" style="71" customWidth="1"/>
    <col min="8449" max="8449" width="20.5703125" style="71" customWidth="1"/>
    <col min="8450" max="8450" width="12.0703125" style="71" customWidth="1"/>
    <col min="8451" max="8451" width="12.5703125" style="71" customWidth="1"/>
    <col min="8452" max="8452" width="3.5703125" style="71" customWidth="1"/>
    <col min="8453" max="8454" width="4.0703125" style="71" customWidth="1"/>
    <col min="8455" max="8455" width="4" style="71" customWidth="1"/>
    <col min="8456" max="8456" width="16.0703125" style="71" customWidth="1"/>
    <col min="8457" max="8457" width="5.5703125" style="71" customWidth="1"/>
    <col min="8458" max="8458" width="8.5703125" style="71" customWidth="1"/>
    <col min="8459" max="8459" width="5.0703125" style="71" customWidth="1"/>
    <col min="8460" max="8461" width="4.0703125" style="71" customWidth="1"/>
    <col min="8462" max="8462" width="3.0703125" style="71" customWidth="1"/>
    <col min="8463" max="8463" width="4.5703125" style="71" customWidth="1"/>
    <col min="8464" max="8464" width="4.0703125" style="71" customWidth="1"/>
    <col min="8465" max="8465" width="4" style="71" customWidth="1"/>
    <col min="8466" max="8466" width="3" style="71" customWidth="1"/>
    <col min="8467" max="8467" width="3.5703125" style="71" customWidth="1"/>
    <col min="8468" max="8468" width="4.0703125" style="71" customWidth="1"/>
    <col min="8469" max="8469" width="3.5" style="71" customWidth="1"/>
    <col min="8470" max="8470" width="4.5703125" style="71" customWidth="1"/>
    <col min="8471" max="8471" width="10.5703125" style="71" customWidth="1"/>
    <col min="8472" max="8472" width="7.0703125" style="71" customWidth="1"/>
    <col min="8473" max="8473" width="8.0703125" style="71" customWidth="1"/>
    <col min="8474" max="8476" width="7.5703125" style="71" customWidth="1"/>
    <col min="8477" max="8477" width="7.0703125" style="71" customWidth="1"/>
    <col min="8478" max="8703" width="9.140625" style="71"/>
    <col min="8704" max="8704" width="4.5" style="71" customWidth="1"/>
    <col min="8705" max="8705" width="20.5703125" style="71" customWidth="1"/>
    <col min="8706" max="8706" width="12.0703125" style="71" customWidth="1"/>
    <col min="8707" max="8707" width="12.5703125" style="71" customWidth="1"/>
    <col min="8708" max="8708" width="3.5703125" style="71" customWidth="1"/>
    <col min="8709" max="8710" width="4.0703125" style="71" customWidth="1"/>
    <col min="8711" max="8711" width="4" style="71" customWidth="1"/>
    <col min="8712" max="8712" width="16.0703125" style="71" customWidth="1"/>
    <col min="8713" max="8713" width="5.5703125" style="71" customWidth="1"/>
    <col min="8714" max="8714" width="8.5703125" style="71" customWidth="1"/>
    <col min="8715" max="8715" width="5.0703125" style="71" customWidth="1"/>
    <col min="8716" max="8717" width="4.0703125" style="71" customWidth="1"/>
    <col min="8718" max="8718" width="3.0703125" style="71" customWidth="1"/>
    <col min="8719" max="8719" width="4.5703125" style="71" customWidth="1"/>
    <col min="8720" max="8720" width="4.0703125" style="71" customWidth="1"/>
    <col min="8721" max="8721" width="4" style="71" customWidth="1"/>
    <col min="8722" max="8722" width="3" style="71" customWidth="1"/>
    <col min="8723" max="8723" width="3.5703125" style="71" customWidth="1"/>
    <col min="8724" max="8724" width="4.0703125" style="71" customWidth="1"/>
    <col min="8725" max="8725" width="3.5" style="71" customWidth="1"/>
    <col min="8726" max="8726" width="4.5703125" style="71" customWidth="1"/>
    <col min="8727" max="8727" width="10.5703125" style="71" customWidth="1"/>
    <col min="8728" max="8728" width="7.0703125" style="71" customWidth="1"/>
    <col min="8729" max="8729" width="8.0703125" style="71" customWidth="1"/>
    <col min="8730" max="8732" width="7.5703125" style="71" customWidth="1"/>
    <col min="8733" max="8733" width="7.0703125" style="71" customWidth="1"/>
    <col min="8734" max="8959" width="9.140625" style="71"/>
    <col min="8960" max="8960" width="4.5" style="71" customWidth="1"/>
    <col min="8961" max="8961" width="20.5703125" style="71" customWidth="1"/>
    <col min="8962" max="8962" width="12.0703125" style="71" customWidth="1"/>
    <col min="8963" max="8963" width="12.5703125" style="71" customWidth="1"/>
    <col min="8964" max="8964" width="3.5703125" style="71" customWidth="1"/>
    <col min="8965" max="8966" width="4.0703125" style="71" customWidth="1"/>
    <col min="8967" max="8967" width="4" style="71" customWidth="1"/>
    <col min="8968" max="8968" width="16.0703125" style="71" customWidth="1"/>
    <col min="8969" max="8969" width="5.5703125" style="71" customWidth="1"/>
    <col min="8970" max="8970" width="8.5703125" style="71" customWidth="1"/>
    <col min="8971" max="8971" width="5.0703125" style="71" customWidth="1"/>
    <col min="8972" max="8973" width="4.0703125" style="71" customWidth="1"/>
    <col min="8974" max="8974" width="3.0703125" style="71" customWidth="1"/>
    <col min="8975" max="8975" width="4.5703125" style="71" customWidth="1"/>
    <col min="8976" max="8976" width="4.0703125" style="71" customWidth="1"/>
    <col min="8977" max="8977" width="4" style="71" customWidth="1"/>
    <col min="8978" max="8978" width="3" style="71" customWidth="1"/>
    <col min="8979" max="8979" width="3.5703125" style="71" customWidth="1"/>
    <col min="8980" max="8980" width="4.0703125" style="71" customWidth="1"/>
    <col min="8981" max="8981" width="3.5" style="71" customWidth="1"/>
    <col min="8982" max="8982" width="4.5703125" style="71" customWidth="1"/>
    <col min="8983" max="8983" width="10.5703125" style="71" customWidth="1"/>
    <col min="8984" max="8984" width="7.0703125" style="71" customWidth="1"/>
    <col min="8985" max="8985" width="8.0703125" style="71" customWidth="1"/>
    <col min="8986" max="8988" width="7.5703125" style="71" customWidth="1"/>
    <col min="8989" max="8989" width="7.0703125" style="71" customWidth="1"/>
    <col min="8990" max="9215" width="9.140625" style="71"/>
    <col min="9216" max="9216" width="4.5" style="71" customWidth="1"/>
    <col min="9217" max="9217" width="20.5703125" style="71" customWidth="1"/>
    <col min="9218" max="9218" width="12.0703125" style="71" customWidth="1"/>
    <col min="9219" max="9219" width="12.5703125" style="71" customWidth="1"/>
    <col min="9220" max="9220" width="3.5703125" style="71" customWidth="1"/>
    <col min="9221" max="9222" width="4.0703125" style="71" customWidth="1"/>
    <col min="9223" max="9223" width="4" style="71" customWidth="1"/>
    <col min="9224" max="9224" width="16.0703125" style="71" customWidth="1"/>
    <col min="9225" max="9225" width="5.5703125" style="71" customWidth="1"/>
    <col min="9226" max="9226" width="8.5703125" style="71" customWidth="1"/>
    <col min="9227" max="9227" width="5.0703125" style="71" customWidth="1"/>
    <col min="9228" max="9229" width="4.0703125" style="71" customWidth="1"/>
    <col min="9230" max="9230" width="3.0703125" style="71" customWidth="1"/>
    <col min="9231" max="9231" width="4.5703125" style="71" customWidth="1"/>
    <col min="9232" max="9232" width="4.0703125" style="71" customWidth="1"/>
    <col min="9233" max="9233" width="4" style="71" customWidth="1"/>
    <col min="9234" max="9234" width="3" style="71" customWidth="1"/>
    <col min="9235" max="9235" width="3.5703125" style="71" customWidth="1"/>
    <col min="9236" max="9236" width="4.0703125" style="71" customWidth="1"/>
    <col min="9237" max="9237" width="3.5" style="71" customWidth="1"/>
    <col min="9238" max="9238" width="4.5703125" style="71" customWidth="1"/>
    <col min="9239" max="9239" width="10.5703125" style="71" customWidth="1"/>
    <col min="9240" max="9240" width="7.0703125" style="71" customWidth="1"/>
    <col min="9241" max="9241" width="8.0703125" style="71" customWidth="1"/>
    <col min="9242" max="9244" width="7.5703125" style="71" customWidth="1"/>
    <col min="9245" max="9245" width="7.0703125" style="71" customWidth="1"/>
    <col min="9246" max="9471" width="9.140625" style="71"/>
    <col min="9472" max="9472" width="4.5" style="71" customWidth="1"/>
    <col min="9473" max="9473" width="20.5703125" style="71" customWidth="1"/>
    <col min="9474" max="9474" width="12.0703125" style="71" customWidth="1"/>
    <col min="9475" max="9475" width="12.5703125" style="71" customWidth="1"/>
    <col min="9476" max="9476" width="3.5703125" style="71" customWidth="1"/>
    <col min="9477" max="9478" width="4.0703125" style="71" customWidth="1"/>
    <col min="9479" max="9479" width="4" style="71" customWidth="1"/>
    <col min="9480" max="9480" width="16.0703125" style="71" customWidth="1"/>
    <col min="9481" max="9481" width="5.5703125" style="71" customWidth="1"/>
    <col min="9482" max="9482" width="8.5703125" style="71" customWidth="1"/>
    <col min="9483" max="9483" width="5.0703125" style="71" customWidth="1"/>
    <col min="9484" max="9485" width="4.0703125" style="71" customWidth="1"/>
    <col min="9486" max="9486" width="3.0703125" style="71" customWidth="1"/>
    <col min="9487" max="9487" width="4.5703125" style="71" customWidth="1"/>
    <col min="9488" max="9488" width="4.0703125" style="71" customWidth="1"/>
    <col min="9489" max="9489" width="4" style="71" customWidth="1"/>
    <col min="9490" max="9490" width="3" style="71" customWidth="1"/>
    <col min="9491" max="9491" width="3.5703125" style="71" customWidth="1"/>
    <col min="9492" max="9492" width="4.0703125" style="71" customWidth="1"/>
    <col min="9493" max="9493" width="3.5" style="71" customWidth="1"/>
    <col min="9494" max="9494" width="4.5703125" style="71" customWidth="1"/>
    <col min="9495" max="9495" width="10.5703125" style="71" customWidth="1"/>
    <col min="9496" max="9496" width="7.0703125" style="71" customWidth="1"/>
    <col min="9497" max="9497" width="8.0703125" style="71" customWidth="1"/>
    <col min="9498" max="9500" width="7.5703125" style="71" customWidth="1"/>
    <col min="9501" max="9501" width="7.0703125" style="71" customWidth="1"/>
    <col min="9502" max="9727" width="9.140625" style="71"/>
    <col min="9728" max="9728" width="4.5" style="71" customWidth="1"/>
    <col min="9729" max="9729" width="20.5703125" style="71" customWidth="1"/>
    <col min="9730" max="9730" width="12.0703125" style="71" customWidth="1"/>
    <col min="9731" max="9731" width="12.5703125" style="71" customWidth="1"/>
    <col min="9732" max="9732" width="3.5703125" style="71" customWidth="1"/>
    <col min="9733" max="9734" width="4.0703125" style="71" customWidth="1"/>
    <col min="9735" max="9735" width="4" style="71" customWidth="1"/>
    <col min="9736" max="9736" width="16.0703125" style="71" customWidth="1"/>
    <col min="9737" max="9737" width="5.5703125" style="71" customWidth="1"/>
    <col min="9738" max="9738" width="8.5703125" style="71" customWidth="1"/>
    <col min="9739" max="9739" width="5.0703125" style="71" customWidth="1"/>
    <col min="9740" max="9741" width="4.0703125" style="71" customWidth="1"/>
    <col min="9742" max="9742" width="3.0703125" style="71" customWidth="1"/>
    <col min="9743" max="9743" width="4.5703125" style="71" customWidth="1"/>
    <col min="9744" max="9744" width="4.0703125" style="71" customWidth="1"/>
    <col min="9745" max="9745" width="4" style="71" customWidth="1"/>
    <col min="9746" max="9746" width="3" style="71" customWidth="1"/>
    <col min="9747" max="9747" width="3.5703125" style="71" customWidth="1"/>
    <col min="9748" max="9748" width="4.0703125" style="71" customWidth="1"/>
    <col min="9749" max="9749" width="3.5" style="71" customWidth="1"/>
    <col min="9750" max="9750" width="4.5703125" style="71" customWidth="1"/>
    <col min="9751" max="9751" width="10.5703125" style="71" customWidth="1"/>
    <col min="9752" max="9752" width="7.0703125" style="71" customWidth="1"/>
    <col min="9753" max="9753" width="8.0703125" style="71" customWidth="1"/>
    <col min="9754" max="9756" width="7.5703125" style="71" customWidth="1"/>
    <col min="9757" max="9757" width="7.0703125" style="71" customWidth="1"/>
    <col min="9758" max="9983" width="9.140625" style="71"/>
    <col min="9984" max="9984" width="4.5" style="71" customWidth="1"/>
    <col min="9985" max="9985" width="20.5703125" style="71" customWidth="1"/>
    <col min="9986" max="9986" width="12.0703125" style="71" customWidth="1"/>
    <col min="9987" max="9987" width="12.5703125" style="71" customWidth="1"/>
    <col min="9988" max="9988" width="3.5703125" style="71" customWidth="1"/>
    <col min="9989" max="9990" width="4.0703125" style="71" customWidth="1"/>
    <col min="9991" max="9991" width="4" style="71" customWidth="1"/>
    <col min="9992" max="9992" width="16.0703125" style="71" customWidth="1"/>
    <col min="9993" max="9993" width="5.5703125" style="71" customWidth="1"/>
    <col min="9994" max="9994" width="8.5703125" style="71" customWidth="1"/>
    <col min="9995" max="9995" width="5.0703125" style="71" customWidth="1"/>
    <col min="9996" max="9997" width="4.0703125" style="71" customWidth="1"/>
    <col min="9998" max="9998" width="3.0703125" style="71" customWidth="1"/>
    <col min="9999" max="9999" width="4.5703125" style="71" customWidth="1"/>
    <col min="10000" max="10000" width="4.0703125" style="71" customWidth="1"/>
    <col min="10001" max="10001" width="4" style="71" customWidth="1"/>
    <col min="10002" max="10002" width="3" style="71" customWidth="1"/>
    <col min="10003" max="10003" width="3.5703125" style="71" customWidth="1"/>
    <col min="10004" max="10004" width="4.0703125" style="71" customWidth="1"/>
    <col min="10005" max="10005" width="3.5" style="71" customWidth="1"/>
    <col min="10006" max="10006" width="4.5703125" style="71" customWidth="1"/>
    <col min="10007" max="10007" width="10.5703125" style="71" customWidth="1"/>
    <col min="10008" max="10008" width="7.0703125" style="71" customWidth="1"/>
    <col min="10009" max="10009" width="8.0703125" style="71" customWidth="1"/>
    <col min="10010" max="10012" width="7.5703125" style="71" customWidth="1"/>
    <col min="10013" max="10013" width="7.0703125" style="71" customWidth="1"/>
    <col min="10014" max="10239" width="9.140625" style="71"/>
    <col min="10240" max="10240" width="4.5" style="71" customWidth="1"/>
    <col min="10241" max="10241" width="20.5703125" style="71" customWidth="1"/>
    <col min="10242" max="10242" width="12.0703125" style="71" customWidth="1"/>
    <col min="10243" max="10243" width="12.5703125" style="71" customWidth="1"/>
    <col min="10244" max="10244" width="3.5703125" style="71" customWidth="1"/>
    <col min="10245" max="10246" width="4.0703125" style="71" customWidth="1"/>
    <col min="10247" max="10247" width="4" style="71" customWidth="1"/>
    <col min="10248" max="10248" width="16.0703125" style="71" customWidth="1"/>
    <col min="10249" max="10249" width="5.5703125" style="71" customWidth="1"/>
    <col min="10250" max="10250" width="8.5703125" style="71" customWidth="1"/>
    <col min="10251" max="10251" width="5.0703125" style="71" customWidth="1"/>
    <col min="10252" max="10253" width="4.0703125" style="71" customWidth="1"/>
    <col min="10254" max="10254" width="3.0703125" style="71" customWidth="1"/>
    <col min="10255" max="10255" width="4.5703125" style="71" customWidth="1"/>
    <col min="10256" max="10256" width="4.0703125" style="71" customWidth="1"/>
    <col min="10257" max="10257" width="4" style="71" customWidth="1"/>
    <col min="10258" max="10258" width="3" style="71" customWidth="1"/>
    <col min="10259" max="10259" width="3.5703125" style="71" customWidth="1"/>
    <col min="10260" max="10260" width="4.0703125" style="71" customWidth="1"/>
    <col min="10261" max="10261" width="3.5" style="71" customWidth="1"/>
    <col min="10262" max="10262" width="4.5703125" style="71" customWidth="1"/>
    <col min="10263" max="10263" width="10.5703125" style="71" customWidth="1"/>
    <col min="10264" max="10264" width="7.0703125" style="71" customWidth="1"/>
    <col min="10265" max="10265" width="8.0703125" style="71" customWidth="1"/>
    <col min="10266" max="10268" width="7.5703125" style="71" customWidth="1"/>
    <col min="10269" max="10269" width="7.0703125" style="71" customWidth="1"/>
    <col min="10270" max="10495" width="9.140625" style="71"/>
    <col min="10496" max="10496" width="4.5" style="71" customWidth="1"/>
    <col min="10497" max="10497" width="20.5703125" style="71" customWidth="1"/>
    <col min="10498" max="10498" width="12.0703125" style="71" customWidth="1"/>
    <col min="10499" max="10499" width="12.5703125" style="71" customWidth="1"/>
    <col min="10500" max="10500" width="3.5703125" style="71" customWidth="1"/>
    <col min="10501" max="10502" width="4.0703125" style="71" customWidth="1"/>
    <col min="10503" max="10503" width="4" style="71" customWidth="1"/>
    <col min="10504" max="10504" width="16.0703125" style="71" customWidth="1"/>
    <col min="10505" max="10505" width="5.5703125" style="71" customWidth="1"/>
    <col min="10506" max="10506" width="8.5703125" style="71" customWidth="1"/>
    <col min="10507" max="10507" width="5.0703125" style="71" customWidth="1"/>
    <col min="10508" max="10509" width="4.0703125" style="71" customWidth="1"/>
    <col min="10510" max="10510" width="3.0703125" style="71" customWidth="1"/>
    <col min="10511" max="10511" width="4.5703125" style="71" customWidth="1"/>
    <col min="10512" max="10512" width="4.0703125" style="71" customWidth="1"/>
    <col min="10513" max="10513" width="4" style="71" customWidth="1"/>
    <col min="10514" max="10514" width="3" style="71" customWidth="1"/>
    <col min="10515" max="10515" width="3.5703125" style="71" customWidth="1"/>
    <col min="10516" max="10516" width="4.0703125" style="71" customWidth="1"/>
    <col min="10517" max="10517" width="3.5" style="71" customWidth="1"/>
    <col min="10518" max="10518" width="4.5703125" style="71" customWidth="1"/>
    <col min="10519" max="10519" width="10.5703125" style="71" customWidth="1"/>
    <col min="10520" max="10520" width="7.0703125" style="71" customWidth="1"/>
    <col min="10521" max="10521" width="8.0703125" style="71" customWidth="1"/>
    <col min="10522" max="10524" width="7.5703125" style="71" customWidth="1"/>
    <col min="10525" max="10525" width="7.0703125" style="71" customWidth="1"/>
    <col min="10526" max="10751" width="9.140625" style="71"/>
    <col min="10752" max="10752" width="4.5" style="71" customWidth="1"/>
    <col min="10753" max="10753" width="20.5703125" style="71" customWidth="1"/>
    <col min="10754" max="10754" width="12.0703125" style="71" customWidth="1"/>
    <col min="10755" max="10755" width="12.5703125" style="71" customWidth="1"/>
    <col min="10756" max="10756" width="3.5703125" style="71" customWidth="1"/>
    <col min="10757" max="10758" width="4.0703125" style="71" customWidth="1"/>
    <col min="10759" max="10759" width="4" style="71" customWidth="1"/>
    <col min="10760" max="10760" width="16.0703125" style="71" customWidth="1"/>
    <col min="10761" max="10761" width="5.5703125" style="71" customWidth="1"/>
    <col min="10762" max="10762" width="8.5703125" style="71" customWidth="1"/>
    <col min="10763" max="10763" width="5.0703125" style="71" customWidth="1"/>
    <col min="10764" max="10765" width="4.0703125" style="71" customWidth="1"/>
    <col min="10766" max="10766" width="3.0703125" style="71" customWidth="1"/>
    <col min="10767" max="10767" width="4.5703125" style="71" customWidth="1"/>
    <col min="10768" max="10768" width="4.0703125" style="71" customWidth="1"/>
    <col min="10769" max="10769" width="4" style="71" customWidth="1"/>
    <col min="10770" max="10770" width="3" style="71" customWidth="1"/>
    <col min="10771" max="10771" width="3.5703125" style="71" customWidth="1"/>
    <col min="10772" max="10772" width="4.0703125" style="71" customWidth="1"/>
    <col min="10773" max="10773" width="3.5" style="71" customWidth="1"/>
    <col min="10774" max="10774" width="4.5703125" style="71" customWidth="1"/>
    <col min="10775" max="10775" width="10.5703125" style="71" customWidth="1"/>
    <col min="10776" max="10776" width="7.0703125" style="71" customWidth="1"/>
    <col min="10777" max="10777" width="8.0703125" style="71" customWidth="1"/>
    <col min="10778" max="10780" width="7.5703125" style="71" customWidth="1"/>
    <col min="10781" max="10781" width="7.0703125" style="71" customWidth="1"/>
    <col min="10782" max="11007" width="9.140625" style="71"/>
    <col min="11008" max="11008" width="4.5" style="71" customWidth="1"/>
    <col min="11009" max="11009" width="20.5703125" style="71" customWidth="1"/>
    <col min="11010" max="11010" width="12.0703125" style="71" customWidth="1"/>
    <col min="11011" max="11011" width="12.5703125" style="71" customWidth="1"/>
    <col min="11012" max="11012" width="3.5703125" style="71" customWidth="1"/>
    <col min="11013" max="11014" width="4.0703125" style="71" customWidth="1"/>
    <col min="11015" max="11015" width="4" style="71" customWidth="1"/>
    <col min="11016" max="11016" width="16.0703125" style="71" customWidth="1"/>
    <col min="11017" max="11017" width="5.5703125" style="71" customWidth="1"/>
    <col min="11018" max="11018" width="8.5703125" style="71" customWidth="1"/>
    <col min="11019" max="11019" width="5.0703125" style="71" customWidth="1"/>
    <col min="11020" max="11021" width="4.0703125" style="71" customWidth="1"/>
    <col min="11022" max="11022" width="3.0703125" style="71" customWidth="1"/>
    <col min="11023" max="11023" width="4.5703125" style="71" customWidth="1"/>
    <col min="11024" max="11024" width="4.0703125" style="71" customWidth="1"/>
    <col min="11025" max="11025" width="4" style="71" customWidth="1"/>
    <col min="11026" max="11026" width="3" style="71" customWidth="1"/>
    <col min="11027" max="11027" width="3.5703125" style="71" customWidth="1"/>
    <col min="11028" max="11028" width="4.0703125" style="71" customWidth="1"/>
    <col min="11029" max="11029" width="3.5" style="71" customWidth="1"/>
    <col min="11030" max="11030" width="4.5703125" style="71" customWidth="1"/>
    <col min="11031" max="11031" width="10.5703125" style="71" customWidth="1"/>
    <col min="11032" max="11032" width="7.0703125" style="71" customWidth="1"/>
    <col min="11033" max="11033" width="8.0703125" style="71" customWidth="1"/>
    <col min="11034" max="11036" width="7.5703125" style="71" customWidth="1"/>
    <col min="11037" max="11037" width="7.0703125" style="71" customWidth="1"/>
    <col min="11038" max="11263" width="9.140625" style="71"/>
    <col min="11264" max="11264" width="4.5" style="71" customWidth="1"/>
    <col min="11265" max="11265" width="20.5703125" style="71" customWidth="1"/>
    <col min="11266" max="11266" width="12.0703125" style="71" customWidth="1"/>
    <col min="11267" max="11267" width="12.5703125" style="71" customWidth="1"/>
    <col min="11268" max="11268" width="3.5703125" style="71" customWidth="1"/>
    <col min="11269" max="11270" width="4.0703125" style="71" customWidth="1"/>
    <col min="11271" max="11271" width="4" style="71" customWidth="1"/>
    <col min="11272" max="11272" width="16.0703125" style="71" customWidth="1"/>
    <col min="11273" max="11273" width="5.5703125" style="71" customWidth="1"/>
    <col min="11274" max="11274" width="8.5703125" style="71" customWidth="1"/>
    <col min="11275" max="11275" width="5.0703125" style="71" customWidth="1"/>
    <col min="11276" max="11277" width="4.0703125" style="71" customWidth="1"/>
    <col min="11278" max="11278" width="3.0703125" style="71" customWidth="1"/>
    <col min="11279" max="11279" width="4.5703125" style="71" customWidth="1"/>
    <col min="11280" max="11280" width="4.0703125" style="71" customWidth="1"/>
    <col min="11281" max="11281" width="4" style="71" customWidth="1"/>
    <col min="11282" max="11282" width="3" style="71" customWidth="1"/>
    <col min="11283" max="11283" width="3.5703125" style="71" customWidth="1"/>
    <col min="11284" max="11284" width="4.0703125" style="71" customWidth="1"/>
    <col min="11285" max="11285" width="3.5" style="71" customWidth="1"/>
    <col min="11286" max="11286" width="4.5703125" style="71" customWidth="1"/>
    <col min="11287" max="11287" width="10.5703125" style="71" customWidth="1"/>
    <col min="11288" max="11288" width="7.0703125" style="71" customWidth="1"/>
    <col min="11289" max="11289" width="8.0703125" style="71" customWidth="1"/>
    <col min="11290" max="11292" width="7.5703125" style="71" customWidth="1"/>
    <col min="11293" max="11293" width="7.0703125" style="71" customWidth="1"/>
    <col min="11294" max="11519" width="9.140625" style="71"/>
    <col min="11520" max="11520" width="4.5" style="71" customWidth="1"/>
    <col min="11521" max="11521" width="20.5703125" style="71" customWidth="1"/>
    <col min="11522" max="11522" width="12.0703125" style="71" customWidth="1"/>
    <col min="11523" max="11523" width="12.5703125" style="71" customWidth="1"/>
    <col min="11524" max="11524" width="3.5703125" style="71" customWidth="1"/>
    <col min="11525" max="11526" width="4.0703125" style="71" customWidth="1"/>
    <col min="11527" max="11527" width="4" style="71" customWidth="1"/>
    <col min="11528" max="11528" width="16.0703125" style="71" customWidth="1"/>
    <col min="11529" max="11529" width="5.5703125" style="71" customWidth="1"/>
    <col min="11530" max="11530" width="8.5703125" style="71" customWidth="1"/>
    <col min="11531" max="11531" width="5.0703125" style="71" customWidth="1"/>
    <col min="11532" max="11533" width="4.0703125" style="71" customWidth="1"/>
    <col min="11534" max="11534" width="3.0703125" style="71" customWidth="1"/>
    <col min="11535" max="11535" width="4.5703125" style="71" customWidth="1"/>
    <col min="11536" max="11536" width="4.0703125" style="71" customWidth="1"/>
    <col min="11537" max="11537" width="4" style="71" customWidth="1"/>
    <col min="11538" max="11538" width="3" style="71" customWidth="1"/>
    <col min="11539" max="11539" width="3.5703125" style="71" customWidth="1"/>
    <col min="11540" max="11540" width="4.0703125" style="71" customWidth="1"/>
    <col min="11541" max="11541" width="3.5" style="71" customWidth="1"/>
    <col min="11542" max="11542" width="4.5703125" style="71" customWidth="1"/>
    <col min="11543" max="11543" width="10.5703125" style="71" customWidth="1"/>
    <col min="11544" max="11544" width="7.0703125" style="71" customWidth="1"/>
    <col min="11545" max="11545" width="8.0703125" style="71" customWidth="1"/>
    <col min="11546" max="11548" width="7.5703125" style="71" customWidth="1"/>
    <col min="11549" max="11549" width="7.0703125" style="71" customWidth="1"/>
    <col min="11550" max="11775" width="9.140625" style="71"/>
    <col min="11776" max="11776" width="4.5" style="71" customWidth="1"/>
    <col min="11777" max="11777" width="20.5703125" style="71" customWidth="1"/>
    <col min="11778" max="11778" width="12.0703125" style="71" customWidth="1"/>
    <col min="11779" max="11779" width="12.5703125" style="71" customWidth="1"/>
    <col min="11780" max="11780" width="3.5703125" style="71" customWidth="1"/>
    <col min="11781" max="11782" width="4.0703125" style="71" customWidth="1"/>
    <col min="11783" max="11783" width="4" style="71" customWidth="1"/>
    <col min="11784" max="11784" width="16.0703125" style="71" customWidth="1"/>
    <col min="11785" max="11785" width="5.5703125" style="71" customWidth="1"/>
    <col min="11786" max="11786" width="8.5703125" style="71" customWidth="1"/>
    <col min="11787" max="11787" width="5.0703125" style="71" customWidth="1"/>
    <col min="11788" max="11789" width="4.0703125" style="71" customWidth="1"/>
    <col min="11790" max="11790" width="3.0703125" style="71" customWidth="1"/>
    <col min="11791" max="11791" width="4.5703125" style="71" customWidth="1"/>
    <col min="11792" max="11792" width="4.0703125" style="71" customWidth="1"/>
    <col min="11793" max="11793" width="4" style="71" customWidth="1"/>
    <col min="11794" max="11794" width="3" style="71" customWidth="1"/>
    <col min="11795" max="11795" width="3.5703125" style="71" customWidth="1"/>
    <col min="11796" max="11796" width="4.0703125" style="71" customWidth="1"/>
    <col min="11797" max="11797" width="3.5" style="71" customWidth="1"/>
    <col min="11798" max="11798" width="4.5703125" style="71" customWidth="1"/>
    <col min="11799" max="11799" width="10.5703125" style="71" customWidth="1"/>
    <col min="11800" max="11800" width="7.0703125" style="71" customWidth="1"/>
    <col min="11801" max="11801" width="8.0703125" style="71" customWidth="1"/>
    <col min="11802" max="11804" width="7.5703125" style="71" customWidth="1"/>
    <col min="11805" max="11805" width="7.0703125" style="71" customWidth="1"/>
    <col min="11806" max="12031" width="9.140625" style="71"/>
    <col min="12032" max="12032" width="4.5" style="71" customWidth="1"/>
    <col min="12033" max="12033" width="20.5703125" style="71" customWidth="1"/>
    <col min="12034" max="12034" width="12.0703125" style="71" customWidth="1"/>
    <col min="12035" max="12035" width="12.5703125" style="71" customWidth="1"/>
    <col min="12036" max="12036" width="3.5703125" style="71" customWidth="1"/>
    <col min="12037" max="12038" width="4.0703125" style="71" customWidth="1"/>
    <col min="12039" max="12039" width="4" style="71" customWidth="1"/>
    <col min="12040" max="12040" width="16.0703125" style="71" customWidth="1"/>
    <col min="12041" max="12041" width="5.5703125" style="71" customWidth="1"/>
    <col min="12042" max="12042" width="8.5703125" style="71" customWidth="1"/>
    <col min="12043" max="12043" width="5.0703125" style="71" customWidth="1"/>
    <col min="12044" max="12045" width="4.0703125" style="71" customWidth="1"/>
    <col min="12046" max="12046" width="3.0703125" style="71" customWidth="1"/>
    <col min="12047" max="12047" width="4.5703125" style="71" customWidth="1"/>
    <col min="12048" max="12048" width="4.0703125" style="71" customWidth="1"/>
    <col min="12049" max="12049" width="4" style="71" customWidth="1"/>
    <col min="12050" max="12050" width="3" style="71" customWidth="1"/>
    <col min="12051" max="12051" width="3.5703125" style="71" customWidth="1"/>
    <col min="12052" max="12052" width="4.0703125" style="71" customWidth="1"/>
    <col min="12053" max="12053" width="3.5" style="71" customWidth="1"/>
    <col min="12054" max="12054" width="4.5703125" style="71" customWidth="1"/>
    <col min="12055" max="12055" width="10.5703125" style="71" customWidth="1"/>
    <col min="12056" max="12056" width="7.0703125" style="71" customWidth="1"/>
    <col min="12057" max="12057" width="8.0703125" style="71" customWidth="1"/>
    <col min="12058" max="12060" width="7.5703125" style="71" customWidth="1"/>
    <col min="12061" max="12061" width="7.0703125" style="71" customWidth="1"/>
    <col min="12062" max="12287" width="9.140625" style="71"/>
    <col min="12288" max="12288" width="4.5" style="71" customWidth="1"/>
    <col min="12289" max="12289" width="20.5703125" style="71" customWidth="1"/>
    <col min="12290" max="12290" width="12.0703125" style="71" customWidth="1"/>
    <col min="12291" max="12291" width="12.5703125" style="71" customWidth="1"/>
    <col min="12292" max="12292" width="3.5703125" style="71" customWidth="1"/>
    <col min="12293" max="12294" width="4.0703125" style="71" customWidth="1"/>
    <col min="12295" max="12295" width="4" style="71" customWidth="1"/>
    <col min="12296" max="12296" width="16.0703125" style="71" customWidth="1"/>
    <col min="12297" max="12297" width="5.5703125" style="71" customWidth="1"/>
    <col min="12298" max="12298" width="8.5703125" style="71" customWidth="1"/>
    <col min="12299" max="12299" width="5.0703125" style="71" customWidth="1"/>
    <col min="12300" max="12301" width="4.0703125" style="71" customWidth="1"/>
    <col min="12302" max="12302" width="3.0703125" style="71" customWidth="1"/>
    <col min="12303" max="12303" width="4.5703125" style="71" customWidth="1"/>
    <col min="12304" max="12304" width="4.0703125" style="71" customWidth="1"/>
    <col min="12305" max="12305" width="4" style="71" customWidth="1"/>
    <col min="12306" max="12306" width="3" style="71" customWidth="1"/>
    <col min="12307" max="12307" width="3.5703125" style="71" customWidth="1"/>
    <col min="12308" max="12308" width="4.0703125" style="71" customWidth="1"/>
    <col min="12309" max="12309" width="3.5" style="71" customWidth="1"/>
    <col min="12310" max="12310" width="4.5703125" style="71" customWidth="1"/>
    <col min="12311" max="12311" width="10.5703125" style="71" customWidth="1"/>
    <col min="12312" max="12312" width="7.0703125" style="71" customWidth="1"/>
    <col min="12313" max="12313" width="8.0703125" style="71" customWidth="1"/>
    <col min="12314" max="12316" width="7.5703125" style="71" customWidth="1"/>
    <col min="12317" max="12317" width="7.0703125" style="71" customWidth="1"/>
    <col min="12318" max="12543" width="9.140625" style="71"/>
    <col min="12544" max="12544" width="4.5" style="71" customWidth="1"/>
    <col min="12545" max="12545" width="20.5703125" style="71" customWidth="1"/>
    <col min="12546" max="12546" width="12.0703125" style="71" customWidth="1"/>
    <col min="12547" max="12547" width="12.5703125" style="71" customWidth="1"/>
    <col min="12548" max="12548" width="3.5703125" style="71" customWidth="1"/>
    <col min="12549" max="12550" width="4.0703125" style="71" customWidth="1"/>
    <col min="12551" max="12551" width="4" style="71" customWidth="1"/>
    <col min="12552" max="12552" width="16.0703125" style="71" customWidth="1"/>
    <col min="12553" max="12553" width="5.5703125" style="71" customWidth="1"/>
    <col min="12554" max="12554" width="8.5703125" style="71" customWidth="1"/>
    <col min="12555" max="12555" width="5.0703125" style="71" customWidth="1"/>
    <col min="12556" max="12557" width="4.0703125" style="71" customWidth="1"/>
    <col min="12558" max="12558" width="3.0703125" style="71" customWidth="1"/>
    <col min="12559" max="12559" width="4.5703125" style="71" customWidth="1"/>
    <col min="12560" max="12560" width="4.0703125" style="71" customWidth="1"/>
    <col min="12561" max="12561" width="4" style="71" customWidth="1"/>
    <col min="12562" max="12562" width="3" style="71" customWidth="1"/>
    <col min="12563" max="12563" width="3.5703125" style="71" customWidth="1"/>
    <col min="12564" max="12564" width="4.0703125" style="71" customWidth="1"/>
    <col min="12565" max="12565" width="3.5" style="71" customWidth="1"/>
    <col min="12566" max="12566" width="4.5703125" style="71" customWidth="1"/>
    <col min="12567" max="12567" width="10.5703125" style="71" customWidth="1"/>
    <col min="12568" max="12568" width="7.0703125" style="71" customWidth="1"/>
    <col min="12569" max="12569" width="8.0703125" style="71" customWidth="1"/>
    <col min="12570" max="12572" width="7.5703125" style="71" customWidth="1"/>
    <col min="12573" max="12573" width="7.0703125" style="71" customWidth="1"/>
    <col min="12574" max="12799" width="9.140625" style="71"/>
    <col min="12800" max="12800" width="4.5" style="71" customWidth="1"/>
    <col min="12801" max="12801" width="20.5703125" style="71" customWidth="1"/>
    <col min="12802" max="12802" width="12.0703125" style="71" customWidth="1"/>
    <col min="12803" max="12803" width="12.5703125" style="71" customWidth="1"/>
    <col min="12804" max="12804" width="3.5703125" style="71" customWidth="1"/>
    <col min="12805" max="12806" width="4.0703125" style="71" customWidth="1"/>
    <col min="12807" max="12807" width="4" style="71" customWidth="1"/>
    <col min="12808" max="12808" width="16.0703125" style="71" customWidth="1"/>
    <col min="12809" max="12809" width="5.5703125" style="71" customWidth="1"/>
    <col min="12810" max="12810" width="8.5703125" style="71" customWidth="1"/>
    <col min="12811" max="12811" width="5.0703125" style="71" customWidth="1"/>
    <col min="12812" max="12813" width="4.0703125" style="71" customWidth="1"/>
    <col min="12814" max="12814" width="3.0703125" style="71" customWidth="1"/>
    <col min="12815" max="12815" width="4.5703125" style="71" customWidth="1"/>
    <col min="12816" max="12816" width="4.0703125" style="71" customWidth="1"/>
    <col min="12817" max="12817" width="4" style="71" customWidth="1"/>
    <col min="12818" max="12818" width="3" style="71" customWidth="1"/>
    <col min="12819" max="12819" width="3.5703125" style="71" customWidth="1"/>
    <col min="12820" max="12820" width="4.0703125" style="71" customWidth="1"/>
    <col min="12821" max="12821" width="3.5" style="71" customWidth="1"/>
    <col min="12822" max="12822" width="4.5703125" style="71" customWidth="1"/>
    <col min="12823" max="12823" width="10.5703125" style="71" customWidth="1"/>
    <col min="12824" max="12824" width="7.0703125" style="71" customWidth="1"/>
    <col min="12825" max="12825" width="8.0703125" style="71" customWidth="1"/>
    <col min="12826" max="12828" width="7.5703125" style="71" customWidth="1"/>
    <col min="12829" max="12829" width="7.0703125" style="71" customWidth="1"/>
    <col min="12830" max="13055" width="9.140625" style="71"/>
    <col min="13056" max="13056" width="4.5" style="71" customWidth="1"/>
    <col min="13057" max="13057" width="20.5703125" style="71" customWidth="1"/>
    <col min="13058" max="13058" width="12.0703125" style="71" customWidth="1"/>
    <col min="13059" max="13059" width="12.5703125" style="71" customWidth="1"/>
    <col min="13060" max="13060" width="3.5703125" style="71" customWidth="1"/>
    <col min="13061" max="13062" width="4.0703125" style="71" customWidth="1"/>
    <col min="13063" max="13063" width="4" style="71" customWidth="1"/>
    <col min="13064" max="13064" width="16.0703125" style="71" customWidth="1"/>
    <col min="13065" max="13065" width="5.5703125" style="71" customWidth="1"/>
    <col min="13066" max="13066" width="8.5703125" style="71" customWidth="1"/>
    <col min="13067" max="13067" width="5.0703125" style="71" customWidth="1"/>
    <col min="13068" max="13069" width="4.0703125" style="71" customWidth="1"/>
    <col min="13070" max="13070" width="3.0703125" style="71" customWidth="1"/>
    <col min="13071" max="13071" width="4.5703125" style="71" customWidth="1"/>
    <col min="13072" max="13072" width="4.0703125" style="71" customWidth="1"/>
    <col min="13073" max="13073" width="4" style="71" customWidth="1"/>
    <col min="13074" max="13074" width="3" style="71" customWidth="1"/>
    <col min="13075" max="13075" width="3.5703125" style="71" customWidth="1"/>
    <col min="13076" max="13076" width="4.0703125" style="71" customWidth="1"/>
    <col min="13077" max="13077" width="3.5" style="71" customWidth="1"/>
    <col min="13078" max="13078" width="4.5703125" style="71" customWidth="1"/>
    <col min="13079" max="13079" width="10.5703125" style="71" customWidth="1"/>
    <col min="13080" max="13080" width="7.0703125" style="71" customWidth="1"/>
    <col min="13081" max="13081" width="8.0703125" style="71" customWidth="1"/>
    <col min="13082" max="13084" width="7.5703125" style="71" customWidth="1"/>
    <col min="13085" max="13085" width="7.0703125" style="71" customWidth="1"/>
    <col min="13086" max="13311" width="9.140625" style="71"/>
    <col min="13312" max="13312" width="4.5" style="71" customWidth="1"/>
    <col min="13313" max="13313" width="20.5703125" style="71" customWidth="1"/>
    <col min="13314" max="13314" width="12.0703125" style="71" customWidth="1"/>
    <col min="13315" max="13315" width="12.5703125" style="71" customWidth="1"/>
    <col min="13316" max="13316" width="3.5703125" style="71" customWidth="1"/>
    <col min="13317" max="13318" width="4.0703125" style="71" customWidth="1"/>
    <col min="13319" max="13319" width="4" style="71" customWidth="1"/>
    <col min="13320" max="13320" width="16.0703125" style="71" customWidth="1"/>
    <col min="13321" max="13321" width="5.5703125" style="71" customWidth="1"/>
    <col min="13322" max="13322" width="8.5703125" style="71" customWidth="1"/>
    <col min="13323" max="13323" width="5.0703125" style="71" customWidth="1"/>
    <col min="13324" max="13325" width="4.0703125" style="71" customWidth="1"/>
    <col min="13326" max="13326" width="3.0703125" style="71" customWidth="1"/>
    <col min="13327" max="13327" width="4.5703125" style="71" customWidth="1"/>
    <col min="13328" max="13328" width="4.0703125" style="71" customWidth="1"/>
    <col min="13329" max="13329" width="4" style="71" customWidth="1"/>
    <col min="13330" max="13330" width="3" style="71" customWidth="1"/>
    <col min="13331" max="13331" width="3.5703125" style="71" customWidth="1"/>
    <col min="13332" max="13332" width="4.0703125" style="71" customWidth="1"/>
    <col min="13333" max="13333" width="3.5" style="71" customWidth="1"/>
    <col min="13334" max="13334" width="4.5703125" style="71" customWidth="1"/>
    <col min="13335" max="13335" width="10.5703125" style="71" customWidth="1"/>
    <col min="13336" max="13336" width="7.0703125" style="71" customWidth="1"/>
    <col min="13337" max="13337" width="8.0703125" style="71" customWidth="1"/>
    <col min="13338" max="13340" width="7.5703125" style="71" customWidth="1"/>
    <col min="13341" max="13341" width="7.0703125" style="71" customWidth="1"/>
    <col min="13342" max="13567" width="9.140625" style="71"/>
    <col min="13568" max="13568" width="4.5" style="71" customWidth="1"/>
    <col min="13569" max="13569" width="20.5703125" style="71" customWidth="1"/>
    <col min="13570" max="13570" width="12.0703125" style="71" customWidth="1"/>
    <col min="13571" max="13571" width="12.5703125" style="71" customWidth="1"/>
    <col min="13572" max="13572" width="3.5703125" style="71" customWidth="1"/>
    <col min="13573" max="13574" width="4.0703125" style="71" customWidth="1"/>
    <col min="13575" max="13575" width="4" style="71" customWidth="1"/>
    <col min="13576" max="13576" width="16.0703125" style="71" customWidth="1"/>
    <col min="13577" max="13577" width="5.5703125" style="71" customWidth="1"/>
    <col min="13578" max="13578" width="8.5703125" style="71" customWidth="1"/>
    <col min="13579" max="13579" width="5.0703125" style="71" customWidth="1"/>
    <col min="13580" max="13581" width="4.0703125" style="71" customWidth="1"/>
    <col min="13582" max="13582" width="3.0703125" style="71" customWidth="1"/>
    <col min="13583" max="13583" width="4.5703125" style="71" customWidth="1"/>
    <col min="13584" max="13584" width="4.0703125" style="71" customWidth="1"/>
    <col min="13585" max="13585" width="4" style="71" customWidth="1"/>
    <col min="13586" max="13586" width="3" style="71" customWidth="1"/>
    <col min="13587" max="13587" width="3.5703125" style="71" customWidth="1"/>
    <col min="13588" max="13588" width="4.0703125" style="71" customWidth="1"/>
    <col min="13589" max="13589" width="3.5" style="71" customWidth="1"/>
    <col min="13590" max="13590" width="4.5703125" style="71" customWidth="1"/>
    <col min="13591" max="13591" width="10.5703125" style="71" customWidth="1"/>
    <col min="13592" max="13592" width="7.0703125" style="71" customWidth="1"/>
    <col min="13593" max="13593" width="8.0703125" style="71" customWidth="1"/>
    <col min="13594" max="13596" width="7.5703125" style="71" customWidth="1"/>
    <col min="13597" max="13597" width="7.0703125" style="71" customWidth="1"/>
    <col min="13598" max="13823" width="9.140625" style="71"/>
    <col min="13824" max="13824" width="4.5" style="71" customWidth="1"/>
    <col min="13825" max="13825" width="20.5703125" style="71" customWidth="1"/>
    <col min="13826" max="13826" width="12.0703125" style="71" customWidth="1"/>
    <col min="13827" max="13827" width="12.5703125" style="71" customWidth="1"/>
    <col min="13828" max="13828" width="3.5703125" style="71" customWidth="1"/>
    <col min="13829" max="13830" width="4.0703125" style="71" customWidth="1"/>
    <col min="13831" max="13831" width="4" style="71" customWidth="1"/>
    <col min="13832" max="13832" width="16.0703125" style="71" customWidth="1"/>
    <col min="13833" max="13833" width="5.5703125" style="71" customWidth="1"/>
    <col min="13834" max="13834" width="8.5703125" style="71" customWidth="1"/>
    <col min="13835" max="13835" width="5.0703125" style="71" customWidth="1"/>
    <col min="13836" max="13837" width="4.0703125" style="71" customWidth="1"/>
    <col min="13838" max="13838" width="3.0703125" style="71" customWidth="1"/>
    <col min="13839" max="13839" width="4.5703125" style="71" customWidth="1"/>
    <col min="13840" max="13840" width="4.0703125" style="71" customWidth="1"/>
    <col min="13841" max="13841" width="4" style="71" customWidth="1"/>
    <col min="13842" max="13842" width="3" style="71" customWidth="1"/>
    <col min="13843" max="13843" width="3.5703125" style="71" customWidth="1"/>
    <col min="13844" max="13844" width="4.0703125" style="71" customWidth="1"/>
    <col min="13845" max="13845" width="3.5" style="71" customWidth="1"/>
    <col min="13846" max="13846" width="4.5703125" style="71" customWidth="1"/>
    <col min="13847" max="13847" width="10.5703125" style="71" customWidth="1"/>
    <col min="13848" max="13848" width="7.0703125" style="71" customWidth="1"/>
    <col min="13849" max="13849" width="8.0703125" style="71" customWidth="1"/>
    <col min="13850" max="13852" width="7.5703125" style="71" customWidth="1"/>
    <col min="13853" max="13853" width="7.0703125" style="71" customWidth="1"/>
    <col min="13854" max="14079" width="9.140625" style="71"/>
    <col min="14080" max="14080" width="4.5" style="71" customWidth="1"/>
    <col min="14081" max="14081" width="20.5703125" style="71" customWidth="1"/>
    <col min="14082" max="14082" width="12.0703125" style="71" customWidth="1"/>
    <col min="14083" max="14083" width="12.5703125" style="71" customWidth="1"/>
    <col min="14084" max="14084" width="3.5703125" style="71" customWidth="1"/>
    <col min="14085" max="14086" width="4.0703125" style="71" customWidth="1"/>
    <col min="14087" max="14087" width="4" style="71" customWidth="1"/>
    <col min="14088" max="14088" width="16.0703125" style="71" customWidth="1"/>
    <col min="14089" max="14089" width="5.5703125" style="71" customWidth="1"/>
    <col min="14090" max="14090" width="8.5703125" style="71" customWidth="1"/>
    <col min="14091" max="14091" width="5.0703125" style="71" customWidth="1"/>
    <col min="14092" max="14093" width="4.0703125" style="71" customWidth="1"/>
    <col min="14094" max="14094" width="3.0703125" style="71" customWidth="1"/>
    <col min="14095" max="14095" width="4.5703125" style="71" customWidth="1"/>
    <col min="14096" max="14096" width="4.0703125" style="71" customWidth="1"/>
    <col min="14097" max="14097" width="4" style="71" customWidth="1"/>
    <col min="14098" max="14098" width="3" style="71" customWidth="1"/>
    <col min="14099" max="14099" width="3.5703125" style="71" customWidth="1"/>
    <col min="14100" max="14100" width="4.0703125" style="71" customWidth="1"/>
    <col min="14101" max="14101" width="3.5" style="71" customWidth="1"/>
    <col min="14102" max="14102" width="4.5703125" style="71" customWidth="1"/>
    <col min="14103" max="14103" width="10.5703125" style="71" customWidth="1"/>
    <col min="14104" max="14104" width="7.0703125" style="71" customWidth="1"/>
    <col min="14105" max="14105" width="8.0703125" style="71" customWidth="1"/>
    <col min="14106" max="14108" width="7.5703125" style="71" customWidth="1"/>
    <col min="14109" max="14109" width="7.0703125" style="71" customWidth="1"/>
    <col min="14110" max="14335" width="9.140625" style="71"/>
    <col min="14336" max="14336" width="4.5" style="71" customWidth="1"/>
    <col min="14337" max="14337" width="20.5703125" style="71" customWidth="1"/>
    <col min="14338" max="14338" width="12.0703125" style="71" customWidth="1"/>
    <col min="14339" max="14339" width="12.5703125" style="71" customWidth="1"/>
    <col min="14340" max="14340" width="3.5703125" style="71" customWidth="1"/>
    <col min="14341" max="14342" width="4.0703125" style="71" customWidth="1"/>
    <col min="14343" max="14343" width="4" style="71" customWidth="1"/>
    <col min="14344" max="14344" width="16.0703125" style="71" customWidth="1"/>
    <col min="14345" max="14345" width="5.5703125" style="71" customWidth="1"/>
    <col min="14346" max="14346" width="8.5703125" style="71" customWidth="1"/>
    <col min="14347" max="14347" width="5.0703125" style="71" customWidth="1"/>
    <col min="14348" max="14349" width="4.0703125" style="71" customWidth="1"/>
    <col min="14350" max="14350" width="3.0703125" style="71" customWidth="1"/>
    <col min="14351" max="14351" width="4.5703125" style="71" customWidth="1"/>
    <col min="14352" max="14352" width="4.0703125" style="71" customWidth="1"/>
    <col min="14353" max="14353" width="4" style="71" customWidth="1"/>
    <col min="14354" max="14354" width="3" style="71" customWidth="1"/>
    <col min="14355" max="14355" width="3.5703125" style="71" customWidth="1"/>
    <col min="14356" max="14356" width="4.0703125" style="71" customWidth="1"/>
    <col min="14357" max="14357" width="3.5" style="71" customWidth="1"/>
    <col min="14358" max="14358" width="4.5703125" style="71" customWidth="1"/>
    <col min="14359" max="14359" width="10.5703125" style="71" customWidth="1"/>
    <col min="14360" max="14360" width="7.0703125" style="71" customWidth="1"/>
    <col min="14361" max="14361" width="8.0703125" style="71" customWidth="1"/>
    <col min="14362" max="14364" width="7.5703125" style="71" customWidth="1"/>
    <col min="14365" max="14365" width="7.0703125" style="71" customWidth="1"/>
    <col min="14366" max="14591" width="9.140625" style="71"/>
    <col min="14592" max="14592" width="4.5" style="71" customWidth="1"/>
    <col min="14593" max="14593" width="20.5703125" style="71" customWidth="1"/>
    <col min="14594" max="14594" width="12.0703125" style="71" customWidth="1"/>
    <col min="14595" max="14595" width="12.5703125" style="71" customWidth="1"/>
    <col min="14596" max="14596" width="3.5703125" style="71" customWidth="1"/>
    <col min="14597" max="14598" width="4.0703125" style="71" customWidth="1"/>
    <col min="14599" max="14599" width="4" style="71" customWidth="1"/>
    <col min="14600" max="14600" width="16.0703125" style="71" customWidth="1"/>
    <col min="14601" max="14601" width="5.5703125" style="71" customWidth="1"/>
    <col min="14602" max="14602" width="8.5703125" style="71" customWidth="1"/>
    <col min="14603" max="14603" width="5.0703125" style="71" customWidth="1"/>
    <col min="14604" max="14605" width="4.0703125" style="71" customWidth="1"/>
    <col min="14606" max="14606" width="3.0703125" style="71" customWidth="1"/>
    <col min="14607" max="14607" width="4.5703125" style="71" customWidth="1"/>
    <col min="14608" max="14608" width="4.0703125" style="71" customWidth="1"/>
    <col min="14609" max="14609" width="4" style="71" customWidth="1"/>
    <col min="14610" max="14610" width="3" style="71" customWidth="1"/>
    <col min="14611" max="14611" width="3.5703125" style="71" customWidth="1"/>
    <col min="14612" max="14612" width="4.0703125" style="71" customWidth="1"/>
    <col min="14613" max="14613" width="3.5" style="71" customWidth="1"/>
    <col min="14614" max="14614" width="4.5703125" style="71" customWidth="1"/>
    <col min="14615" max="14615" width="10.5703125" style="71" customWidth="1"/>
    <col min="14616" max="14616" width="7.0703125" style="71" customWidth="1"/>
    <col min="14617" max="14617" width="8.0703125" style="71" customWidth="1"/>
    <col min="14618" max="14620" width="7.5703125" style="71" customWidth="1"/>
    <col min="14621" max="14621" width="7.0703125" style="71" customWidth="1"/>
    <col min="14622" max="14847" width="9.140625" style="71"/>
    <col min="14848" max="14848" width="4.5" style="71" customWidth="1"/>
    <col min="14849" max="14849" width="20.5703125" style="71" customWidth="1"/>
    <col min="14850" max="14850" width="12.0703125" style="71" customWidth="1"/>
    <col min="14851" max="14851" width="12.5703125" style="71" customWidth="1"/>
    <col min="14852" max="14852" width="3.5703125" style="71" customWidth="1"/>
    <col min="14853" max="14854" width="4.0703125" style="71" customWidth="1"/>
    <col min="14855" max="14855" width="4" style="71" customWidth="1"/>
    <col min="14856" max="14856" width="16.0703125" style="71" customWidth="1"/>
    <col min="14857" max="14857" width="5.5703125" style="71" customWidth="1"/>
    <col min="14858" max="14858" width="8.5703125" style="71" customWidth="1"/>
    <col min="14859" max="14859" width="5.0703125" style="71" customWidth="1"/>
    <col min="14860" max="14861" width="4.0703125" style="71" customWidth="1"/>
    <col min="14862" max="14862" width="3.0703125" style="71" customWidth="1"/>
    <col min="14863" max="14863" width="4.5703125" style="71" customWidth="1"/>
    <col min="14864" max="14864" width="4.0703125" style="71" customWidth="1"/>
    <col min="14865" max="14865" width="4" style="71" customWidth="1"/>
    <col min="14866" max="14866" width="3" style="71" customWidth="1"/>
    <col min="14867" max="14867" width="3.5703125" style="71" customWidth="1"/>
    <col min="14868" max="14868" width="4.0703125" style="71" customWidth="1"/>
    <col min="14869" max="14869" width="3.5" style="71" customWidth="1"/>
    <col min="14870" max="14870" width="4.5703125" style="71" customWidth="1"/>
    <col min="14871" max="14871" width="10.5703125" style="71" customWidth="1"/>
    <col min="14872" max="14872" width="7.0703125" style="71" customWidth="1"/>
    <col min="14873" max="14873" width="8.0703125" style="71" customWidth="1"/>
    <col min="14874" max="14876" width="7.5703125" style="71" customWidth="1"/>
    <col min="14877" max="14877" width="7.0703125" style="71" customWidth="1"/>
    <col min="14878" max="15103" width="9.140625" style="71"/>
    <col min="15104" max="15104" width="4.5" style="71" customWidth="1"/>
    <col min="15105" max="15105" width="20.5703125" style="71" customWidth="1"/>
    <col min="15106" max="15106" width="12.0703125" style="71" customWidth="1"/>
    <col min="15107" max="15107" width="12.5703125" style="71" customWidth="1"/>
    <col min="15108" max="15108" width="3.5703125" style="71" customWidth="1"/>
    <col min="15109" max="15110" width="4.0703125" style="71" customWidth="1"/>
    <col min="15111" max="15111" width="4" style="71" customWidth="1"/>
    <col min="15112" max="15112" width="16.0703125" style="71" customWidth="1"/>
    <col min="15113" max="15113" width="5.5703125" style="71" customWidth="1"/>
    <col min="15114" max="15114" width="8.5703125" style="71" customWidth="1"/>
    <col min="15115" max="15115" width="5.0703125" style="71" customWidth="1"/>
    <col min="15116" max="15117" width="4.0703125" style="71" customWidth="1"/>
    <col min="15118" max="15118" width="3.0703125" style="71" customWidth="1"/>
    <col min="15119" max="15119" width="4.5703125" style="71" customWidth="1"/>
    <col min="15120" max="15120" width="4.0703125" style="71" customWidth="1"/>
    <col min="15121" max="15121" width="4" style="71" customWidth="1"/>
    <col min="15122" max="15122" width="3" style="71" customWidth="1"/>
    <col min="15123" max="15123" width="3.5703125" style="71" customWidth="1"/>
    <col min="15124" max="15124" width="4.0703125" style="71" customWidth="1"/>
    <col min="15125" max="15125" width="3.5" style="71" customWidth="1"/>
    <col min="15126" max="15126" width="4.5703125" style="71" customWidth="1"/>
    <col min="15127" max="15127" width="10.5703125" style="71" customWidth="1"/>
    <col min="15128" max="15128" width="7.0703125" style="71" customWidth="1"/>
    <col min="15129" max="15129" width="8.0703125" style="71" customWidth="1"/>
    <col min="15130" max="15132" width="7.5703125" style="71" customWidth="1"/>
    <col min="15133" max="15133" width="7.0703125" style="71" customWidth="1"/>
    <col min="15134" max="15359" width="9.140625" style="71"/>
    <col min="15360" max="15360" width="4.5" style="71" customWidth="1"/>
    <col min="15361" max="15361" width="20.5703125" style="71" customWidth="1"/>
    <col min="15362" max="15362" width="12.0703125" style="71" customWidth="1"/>
    <col min="15363" max="15363" width="12.5703125" style="71" customWidth="1"/>
    <col min="15364" max="15364" width="3.5703125" style="71" customWidth="1"/>
    <col min="15365" max="15366" width="4.0703125" style="71" customWidth="1"/>
    <col min="15367" max="15367" width="4" style="71" customWidth="1"/>
    <col min="15368" max="15368" width="16.0703125" style="71" customWidth="1"/>
    <col min="15369" max="15369" width="5.5703125" style="71" customWidth="1"/>
    <col min="15370" max="15370" width="8.5703125" style="71" customWidth="1"/>
    <col min="15371" max="15371" width="5.0703125" style="71" customWidth="1"/>
    <col min="15372" max="15373" width="4.0703125" style="71" customWidth="1"/>
    <col min="15374" max="15374" width="3.0703125" style="71" customWidth="1"/>
    <col min="15375" max="15375" width="4.5703125" style="71" customWidth="1"/>
    <col min="15376" max="15376" width="4.0703125" style="71" customWidth="1"/>
    <col min="15377" max="15377" width="4" style="71" customWidth="1"/>
    <col min="15378" max="15378" width="3" style="71" customWidth="1"/>
    <col min="15379" max="15379" width="3.5703125" style="71" customWidth="1"/>
    <col min="15380" max="15380" width="4.0703125" style="71" customWidth="1"/>
    <col min="15381" max="15381" width="3.5" style="71" customWidth="1"/>
    <col min="15382" max="15382" width="4.5703125" style="71" customWidth="1"/>
    <col min="15383" max="15383" width="10.5703125" style="71" customWidth="1"/>
    <col min="15384" max="15384" width="7.0703125" style="71" customWidth="1"/>
    <col min="15385" max="15385" width="8.0703125" style="71" customWidth="1"/>
    <col min="15386" max="15388" width="7.5703125" style="71" customWidth="1"/>
    <col min="15389" max="15389" width="7.0703125" style="71" customWidth="1"/>
    <col min="15390" max="15615" width="9.140625" style="71"/>
    <col min="15616" max="15616" width="4.5" style="71" customWidth="1"/>
    <col min="15617" max="15617" width="20.5703125" style="71" customWidth="1"/>
    <col min="15618" max="15618" width="12.0703125" style="71" customWidth="1"/>
    <col min="15619" max="15619" width="12.5703125" style="71" customWidth="1"/>
    <col min="15620" max="15620" width="3.5703125" style="71" customWidth="1"/>
    <col min="15621" max="15622" width="4.0703125" style="71" customWidth="1"/>
    <col min="15623" max="15623" width="4" style="71" customWidth="1"/>
    <col min="15624" max="15624" width="16.0703125" style="71" customWidth="1"/>
    <col min="15625" max="15625" width="5.5703125" style="71" customWidth="1"/>
    <col min="15626" max="15626" width="8.5703125" style="71" customWidth="1"/>
    <col min="15627" max="15627" width="5.0703125" style="71" customWidth="1"/>
    <col min="15628" max="15629" width="4.0703125" style="71" customWidth="1"/>
    <col min="15630" max="15630" width="3.0703125" style="71" customWidth="1"/>
    <col min="15631" max="15631" width="4.5703125" style="71" customWidth="1"/>
    <col min="15632" max="15632" width="4.0703125" style="71" customWidth="1"/>
    <col min="15633" max="15633" width="4" style="71" customWidth="1"/>
    <col min="15634" max="15634" width="3" style="71" customWidth="1"/>
    <col min="15635" max="15635" width="3.5703125" style="71" customWidth="1"/>
    <col min="15636" max="15636" width="4.0703125" style="71" customWidth="1"/>
    <col min="15637" max="15637" width="3.5" style="71" customWidth="1"/>
    <col min="15638" max="15638" width="4.5703125" style="71" customWidth="1"/>
    <col min="15639" max="15639" width="10.5703125" style="71" customWidth="1"/>
    <col min="15640" max="15640" width="7.0703125" style="71" customWidth="1"/>
    <col min="15641" max="15641" width="8.0703125" style="71" customWidth="1"/>
    <col min="15642" max="15644" width="7.5703125" style="71" customWidth="1"/>
    <col min="15645" max="15645" width="7.0703125" style="71" customWidth="1"/>
    <col min="15646" max="15871" width="9.140625" style="71"/>
    <col min="15872" max="15872" width="4.5" style="71" customWidth="1"/>
    <col min="15873" max="15873" width="20.5703125" style="71" customWidth="1"/>
    <col min="15874" max="15874" width="12.0703125" style="71" customWidth="1"/>
    <col min="15875" max="15875" width="12.5703125" style="71" customWidth="1"/>
    <col min="15876" max="15876" width="3.5703125" style="71" customWidth="1"/>
    <col min="15877" max="15878" width="4.0703125" style="71" customWidth="1"/>
    <col min="15879" max="15879" width="4" style="71" customWidth="1"/>
    <col min="15880" max="15880" width="16.0703125" style="71" customWidth="1"/>
    <col min="15881" max="15881" width="5.5703125" style="71" customWidth="1"/>
    <col min="15882" max="15882" width="8.5703125" style="71" customWidth="1"/>
    <col min="15883" max="15883" width="5.0703125" style="71" customWidth="1"/>
    <col min="15884" max="15885" width="4.0703125" style="71" customWidth="1"/>
    <col min="15886" max="15886" width="3.0703125" style="71" customWidth="1"/>
    <col min="15887" max="15887" width="4.5703125" style="71" customWidth="1"/>
    <col min="15888" max="15888" width="4.0703125" style="71" customWidth="1"/>
    <col min="15889" max="15889" width="4" style="71" customWidth="1"/>
    <col min="15890" max="15890" width="3" style="71" customWidth="1"/>
    <col min="15891" max="15891" width="3.5703125" style="71" customWidth="1"/>
    <col min="15892" max="15892" width="4.0703125" style="71" customWidth="1"/>
    <col min="15893" max="15893" width="3.5" style="71" customWidth="1"/>
    <col min="15894" max="15894" width="4.5703125" style="71" customWidth="1"/>
    <col min="15895" max="15895" width="10.5703125" style="71" customWidth="1"/>
    <col min="15896" max="15896" width="7.0703125" style="71" customWidth="1"/>
    <col min="15897" max="15897" width="8.0703125" style="71" customWidth="1"/>
    <col min="15898" max="15900" width="7.5703125" style="71" customWidth="1"/>
    <col min="15901" max="15901" width="7.0703125" style="71" customWidth="1"/>
    <col min="15902" max="16127" width="9.140625" style="71"/>
    <col min="16128" max="16128" width="4.5" style="71" customWidth="1"/>
    <col min="16129" max="16129" width="20.5703125" style="71" customWidth="1"/>
    <col min="16130" max="16130" width="12.0703125" style="71" customWidth="1"/>
    <col min="16131" max="16131" width="12.5703125" style="71" customWidth="1"/>
    <col min="16132" max="16132" width="3.5703125" style="71" customWidth="1"/>
    <col min="16133" max="16134" width="4.0703125" style="71" customWidth="1"/>
    <col min="16135" max="16135" width="4" style="71" customWidth="1"/>
    <col min="16136" max="16136" width="16.0703125" style="71" customWidth="1"/>
    <col min="16137" max="16137" width="5.5703125" style="71" customWidth="1"/>
    <col min="16138" max="16138" width="8.5703125" style="71" customWidth="1"/>
    <col min="16139" max="16139" width="5.0703125" style="71" customWidth="1"/>
    <col min="16140" max="16141" width="4.0703125" style="71" customWidth="1"/>
    <col min="16142" max="16142" width="3.0703125" style="71" customWidth="1"/>
    <col min="16143" max="16143" width="4.5703125" style="71" customWidth="1"/>
    <col min="16144" max="16144" width="4.0703125" style="71" customWidth="1"/>
    <col min="16145" max="16145" width="4" style="71" customWidth="1"/>
    <col min="16146" max="16146" width="3" style="71" customWidth="1"/>
    <col min="16147" max="16147" width="3.5703125" style="71" customWidth="1"/>
    <col min="16148" max="16148" width="4.0703125" style="71" customWidth="1"/>
    <col min="16149" max="16149" width="3.5" style="71" customWidth="1"/>
    <col min="16150" max="16150" width="4.5703125" style="71" customWidth="1"/>
    <col min="16151" max="16151" width="10.5703125" style="71" customWidth="1"/>
    <col min="16152" max="16152" width="7.0703125" style="71" customWidth="1"/>
    <col min="16153" max="16153" width="8.0703125" style="71" customWidth="1"/>
    <col min="16154" max="16156" width="7.5703125" style="71" customWidth="1"/>
    <col min="16157" max="16157" width="7.0703125" style="71" customWidth="1"/>
    <col min="16158" max="16383" width="9.140625" style="71"/>
    <col min="16384" max="16384" width="8.5703125" style="71" customWidth="1"/>
  </cols>
  <sheetData>
    <row r="1" spans="1:257">
      <c r="D1" s="3003" t="s">
        <v>2622</v>
      </c>
      <c r="E1" s="3003"/>
      <c r="F1" s="3003"/>
      <c r="G1" s="3003"/>
      <c r="H1" s="3003"/>
      <c r="I1" s="3003"/>
      <c r="J1" s="3003"/>
      <c r="K1" s="3003"/>
      <c r="L1" s="3003"/>
      <c r="M1" s="3003"/>
      <c r="N1" s="3003"/>
      <c r="O1" s="3003"/>
      <c r="P1" s="3003"/>
      <c r="Q1" s="3003"/>
      <c r="R1" s="3003"/>
      <c r="S1" s="3003"/>
      <c r="T1" s="3003"/>
      <c r="U1" s="3003"/>
      <c r="V1" s="3003"/>
      <c r="W1" s="3003"/>
      <c r="X1" s="3003"/>
      <c r="Y1" s="3003"/>
      <c r="Z1" s="3003"/>
      <c r="AA1" s="3003"/>
      <c r="AB1" s="3003"/>
    </row>
    <row r="2" spans="1:257" ht="20.25" customHeight="1">
      <c r="D2" s="71" t="s">
        <v>0</v>
      </c>
      <c r="E2" s="2419" t="s">
        <v>1</v>
      </c>
      <c r="F2" s="2420"/>
      <c r="G2" s="2421" t="s">
        <v>238</v>
      </c>
      <c r="J2" s="2422"/>
    </row>
    <row r="3" spans="1:257" ht="19.5" customHeight="1">
      <c r="D3" s="2423" t="s">
        <v>2</v>
      </c>
      <c r="E3" s="2423"/>
      <c r="F3" s="2423"/>
      <c r="G3" s="2423"/>
      <c r="H3" s="2424"/>
      <c r="I3" s="2424"/>
      <c r="J3" s="2424"/>
      <c r="K3" s="2424"/>
      <c r="L3" s="2423"/>
      <c r="M3" s="2423"/>
      <c r="N3" s="2423"/>
      <c r="O3" s="2423"/>
      <c r="P3" s="2423"/>
      <c r="Q3" s="2423"/>
      <c r="R3" s="2423"/>
      <c r="S3" s="2423"/>
      <c r="T3" s="2423"/>
      <c r="U3" s="2423"/>
      <c r="V3" s="2423"/>
    </row>
    <row r="4" spans="1:257" ht="19.5" customHeight="1">
      <c r="D4" s="2423" t="s">
        <v>2623</v>
      </c>
      <c r="E4" s="2423"/>
      <c r="F4" s="2423"/>
      <c r="G4" s="2423"/>
      <c r="H4" s="2424"/>
      <c r="I4" s="2424"/>
      <c r="J4" s="2424"/>
      <c r="K4" s="2424"/>
      <c r="R4" s="2423"/>
      <c r="S4" s="2423"/>
      <c r="T4" s="2423"/>
      <c r="U4" s="2423"/>
      <c r="V4" s="2423"/>
    </row>
    <row r="5" spans="1:257" ht="19.5" customHeight="1">
      <c r="D5" s="71" t="s">
        <v>2624</v>
      </c>
      <c r="E5" s="2423"/>
      <c r="F5" s="2423"/>
      <c r="G5" s="2423"/>
      <c r="H5" s="2424"/>
      <c r="I5" s="2424"/>
      <c r="J5" s="2424"/>
      <c r="K5" s="2424"/>
      <c r="M5" s="438" t="s">
        <v>37</v>
      </c>
      <c r="N5" s="431" t="s">
        <v>11</v>
      </c>
      <c r="O5" s="433" t="s">
        <v>22</v>
      </c>
      <c r="P5" s="433" t="s">
        <v>23</v>
      </c>
      <c r="Q5" s="433" t="s">
        <v>24</v>
      </c>
      <c r="R5" s="433" t="s">
        <v>25</v>
      </c>
      <c r="S5" s="433" t="s">
        <v>26</v>
      </c>
      <c r="T5" s="433" t="s">
        <v>27</v>
      </c>
      <c r="U5" s="433" t="s">
        <v>28</v>
      </c>
      <c r="V5" s="433" t="s">
        <v>29</v>
      </c>
      <c r="W5" s="433" t="s">
        <v>30</v>
      </c>
      <c r="X5" s="433" t="s">
        <v>31</v>
      </c>
      <c r="Y5" s="433" t="s">
        <v>32</v>
      </c>
      <c r="Z5" s="433" t="s">
        <v>33</v>
      </c>
      <c r="AA5" s="2053" t="s">
        <v>2287</v>
      </c>
      <c r="AB5" s="2053" t="s">
        <v>2288</v>
      </c>
      <c r="AC5" s="2053" t="s">
        <v>2289</v>
      </c>
      <c r="AD5" s="2053" t="s">
        <v>2290</v>
      </c>
      <c r="AE5" s="2053" t="s">
        <v>2291</v>
      </c>
    </row>
    <row r="6" spans="1:257" ht="19.5" customHeight="1">
      <c r="D6" s="2423" t="s">
        <v>4</v>
      </c>
      <c r="E6" s="2423"/>
      <c r="F6" s="2423"/>
      <c r="G6" s="2423"/>
      <c r="H6" s="2424"/>
      <c r="I6" s="2424"/>
      <c r="J6" s="2424"/>
      <c r="K6" s="2424"/>
      <c r="M6" s="437">
        <v>6</v>
      </c>
      <c r="N6" s="432">
        <f>SUM(N11:N156)</f>
        <v>1594165</v>
      </c>
      <c r="O6" s="432">
        <f>O11+O15+O23+O29+O71+O109</f>
        <v>5100</v>
      </c>
      <c r="P6" s="432">
        <f t="shared" ref="P6:Z6" si="0">P11+P15+P23+P29+P71+P109</f>
        <v>43410</v>
      </c>
      <c r="Q6" s="432">
        <f t="shared" si="0"/>
        <v>173250</v>
      </c>
      <c r="R6" s="432">
        <f t="shared" si="0"/>
        <v>501800</v>
      </c>
      <c r="S6" s="432">
        <f t="shared" si="0"/>
        <v>235350</v>
      </c>
      <c r="T6" s="432">
        <f t="shared" si="0"/>
        <v>156665</v>
      </c>
      <c r="U6" s="432">
        <f t="shared" si="0"/>
        <v>29750</v>
      </c>
      <c r="V6" s="432">
        <f t="shared" si="0"/>
        <v>55015</v>
      </c>
      <c r="W6" s="432">
        <f t="shared" si="0"/>
        <v>161120</v>
      </c>
      <c r="X6" s="432">
        <f t="shared" si="0"/>
        <v>56810</v>
      </c>
      <c r="Y6" s="432">
        <f t="shared" si="0"/>
        <v>148145</v>
      </c>
      <c r="Z6" s="432">
        <f t="shared" si="0"/>
        <v>27750</v>
      </c>
      <c r="AA6" s="2058">
        <f>N11+N72</f>
        <v>118100</v>
      </c>
      <c r="AB6" s="2058">
        <f>M23</f>
        <v>378800</v>
      </c>
      <c r="AC6" s="2059">
        <f>N32+N45+N51+N55+N66</f>
        <v>0</v>
      </c>
      <c r="AD6" s="2060"/>
      <c r="AE6" s="2058">
        <f>N15+N29+N71+N109</f>
        <v>1097265</v>
      </c>
    </row>
    <row r="7" spans="1:257" ht="19.5" customHeight="1">
      <c r="E7" s="2423"/>
      <c r="F7" s="2423"/>
      <c r="G7" s="2423"/>
      <c r="H7" s="2424"/>
      <c r="I7" s="2424"/>
      <c r="J7" s="2424"/>
      <c r="K7" s="2424"/>
      <c r="M7" s="436"/>
      <c r="N7" s="434"/>
      <c r="O7" s="435"/>
      <c r="P7" s="435"/>
      <c r="Q7" s="435">
        <f>O6+P6+Q6</f>
        <v>221760</v>
      </c>
      <c r="R7" s="435"/>
      <c r="S7" s="435"/>
      <c r="T7" s="435">
        <f>R6+S6+T6</f>
        <v>893815</v>
      </c>
      <c r="U7" s="435"/>
      <c r="V7" s="435"/>
      <c r="W7" s="435">
        <f>U6+V6+W6</f>
        <v>245885</v>
      </c>
      <c r="X7" s="435"/>
      <c r="Y7" s="435"/>
      <c r="Z7" s="435">
        <f>X6+Y6+Z6</f>
        <v>232705</v>
      </c>
      <c r="AA7" s="1356"/>
      <c r="AB7" s="1356"/>
      <c r="AC7" s="1349"/>
      <c r="AD7" s="1349"/>
      <c r="AE7" s="1349"/>
    </row>
    <row r="8" spans="1:257">
      <c r="A8" s="2426" t="s">
        <v>34</v>
      </c>
      <c r="B8" s="2427"/>
      <c r="C8" s="2428"/>
      <c r="D8" s="3207" t="s">
        <v>6</v>
      </c>
      <c r="E8" s="3209" t="s">
        <v>7</v>
      </c>
      <c r="F8" s="3209" t="s">
        <v>8</v>
      </c>
      <c r="G8" s="3209" t="s">
        <v>9</v>
      </c>
      <c r="H8" s="3209" t="s">
        <v>10</v>
      </c>
      <c r="I8" s="3209"/>
      <c r="J8" s="3209"/>
      <c r="K8" s="3209"/>
      <c r="L8" s="3209" t="s">
        <v>11</v>
      </c>
      <c r="M8" s="3209"/>
      <c r="N8" s="3210" t="s">
        <v>12</v>
      </c>
      <c r="O8" s="3209" t="s">
        <v>13</v>
      </c>
      <c r="P8" s="3209"/>
      <c r="Q8" s="3209"/>
      <c r="R8" s="3209"/>
      <c r="S8" s="3209"/>
      <c r="T8" s="3209"/>
      <c r="U8" s="3209"/>
      <c r="V8" s="3209"/>
      <c r="W8" s="3209"/>
      <c r="X8" s="3209"/>
      <c r="Y8" s="3209"/>
      <c r="Z8" s="3209"/>
      <c r="AA8" s="3209" t="s">
        <v>14</v>
      </c>
      <c r="AB8" s="3221" t="s">
        <v>15</v>
      </c>
    </row>
    <row r="9" spans="1:257" ht="37.4" customHeight="1">
      <c r="A9" s="2429"/>
      <c r="B9" s="2430"/>
      <c r="C9" s="2431"/>
      <c r="D9" s="3207"/>
      <c r="E9" s="3209"/>
      <c r="F9" s="3209"/>
      <c r="G9" s="3209"/>
      <c r="H9" s="3209"/>
      <c r="I9" s="3209"/>
      <c r="J9" s="3209"/>
      <c r="K9" s="3209"/>
      <c r="L9" s="3209"/>
      <c r="M9" s="3209"/>
      <c r="N9" s="3210"/>
      <c r="O9" s="3209" t="s">
        <v>16</v>
      </c>
      <c r="P9" s="3209"/>
      <c r="Q9" s="3209"/>
      <c r="R9" s="3209" t="s">
        <v>17</v>
      </c>
      <c r="S9" s="3209"/>
      <c r="T9" s="3209"/>
      <c r="U9" s="3209" t="s">
        <v>18</v>
      </c>
      <c r="V9" s="3209"/>
      <c r="W9" s="3209"/>
      <c r="X9" s="3209" t="s">
        <v>19</v>
      </c>
      <c r="Y9" s="3209"/>
      <c r="Z9" s="3209"/>
      <c r="AA9" s="3209"/>
      <c r="AB9" s="3221"/>
    </row>
    <row r="10" spans="1:257">
      <c r="A10" s="2432" t="s">
        <v>36</v>
      </c>
      <c r="B10" s="2432" t="s">
        <v>35</v>
      </c>
      <c r="C10" s="2432" t="s">
        <v>37</v>
      </c>
      <c r="D10" s="3208"/>
      <c r="E10" s="3209"/>
      <c r="F10" s="3209"/>
      <c r="G10" s="3209"/>
      <c r="H10" s="1368">
        <v>1</v>
      </c>
      <c r="I10" s="1368">
        <v>2</v>
      </c>
      <c r="J10" s="1368">
        <v>3</v>
      </c>
      <c r="K10" s="1368">
        <v>4</v>
      </c>
      <c r="L10" s="1368" t="s">
        <v>20</v>
      </c>
      <c r="M10" s="1369" t="s">
        <v>21</v>
      </c>
      <c r="N10" s="3210"/>
      <c r="O10" s="1368" t="s">
        <v>22</v>
      </c>
      <c r="P10" s="1368" t="s">
        <v>23</v>
      </c>
      <c r="Q10" s="1368" t="s">
        <v>24</v>
      </c>
      <c r="R10" s="1368" t="s">
        <v>25</v>
      </c>
      <c r="S10" s="1368" t="s">
        <v>26</v>
      </c>
      <c r="T10" s="1368" t="s">
        <v>27</v>
      </c>
      <c r="U10" s="1368" t="s">
        <v>28</v>
      </c>
      <c r="V10" s="1368" t="s">
        <v>29</v>
      </c>
      <c r="W10" s="1368" t="s">
        <v>30</v>
      </c>
      <c r="X10" s="1368" t="s">
        <v>31</v>
      </c>
      <c r="Y10" s="1368" t="s">
        <v>32</v>
      </c>
      <c r="Z10" s="1368" t="s">
        <v>33</v>
      </c>
      <c r="AA10" s="3209"/>
      <c r="AB10" s="3221"/>
    </row>
    <row r="11" spans="1:257" ht="48">
      <c r="A11" s="2447">
        <v>1</v>
      </c>
      <c r="B11" s="2447">
        <v>3</v>
      </c>
      <c r="C11" s="2447">
        <v>6</v>
      </c>
      <c r="D11" s="2433">
        <v>1</v>
      </c>
      <c r="E11" s="2434" t="s">
        <v>2625</v>
      </c>
      <c r="F11" s="2435"/>
      <c r="G11" s="2436"/>
      <c r="H11" s="2437" t="s">
        <v>768</v>
      </c>
      <c r="I11" s="2437" t="s">
        <v>768</v>
      </c>
      <c r="J11" s="2437" t="s">
        <v>768</v>
      </c>
      <c r="K11" s="2437" t="s">
        <v>768</v>
      </c>
      <c r="L11" s="2438"/>
      <c r="M11" s="2438"/>
      <c r="N11" s="2438">
        <f>SUM(M12:M14)</f>
        <v>68600</v>
      </c>
      <c r="O11" s="2576">
        <f>SUM(O12:O14)</f>
        <v>0</v>
      </c>
      <c r="P11" s="2576">
        <f t="shared" ref="P11:Z11" si="1">SUM(P12:P14)</f>
        <v>8200</v>
      </c>
      <c r="Q11" s="2576">
        <f t="shared" si="1"/>
        <v>8700</v>
      </c>
      <c r="R11" s="2576">
        <f t="shared" si="1"/>
        <v>0</v>
      </c>
      <c r="S11" s="2576">
        <f t="shared" si="1"/>
        <v>8700</v>
      </c>
      <c r="T11" s="2576">
        <f t="shared" si="1"/>
        <v>8200</v>
      </c>
      <c r="U11" s="2576">
        <f t="shared" si="1"/>
        <v>500</v>
      </c>
      <c r="V11" s="2576">
        <f t="shared" si="1"/>
        <v>8200</v>
      </c>
      <c r="W11" s="2576">
        <f t="shared" si="1"/>
        <v>8700</v>
      </c>
      <c r="X11" s="2576">
        <f t="shared" si="1"/>
        <v>0</v>
      </c>
      <c r="Y11" s="2576">
        <f t="shared" si="1"/>
        <v>8700</v>
      </c>
      <c r="Z11" s="2576">
        <f t="shared" si="1"/>
        <v>8700</v>
      </c>
      <c r="AA11" s="2439" t="s">
        <v>2626</v>
      </c>
      <c r="AB11" s="2440" t="s">
        <v>893</v>
      </c>
      <c r="AD11" s="2441"/>
      <c r="AE11" s="2441"/>
      <c r="AF11" s="2441"/>
      <c r="AG11" s="2441"/>
      <c r="AH11" s="2441"/>
      <c r="AI11" s="2441"/>
      <c r="AJ11" s="2441"/>
      <c r="AK11" s="2441"/>
      <c r="AL11" s="2441"/>
      <c r="AM11" s="2441"/>
      <c r="AN11" s="2441"/>
      <c r="AO11" s="2441"/>
      <c r="AP11" s="2441"/>
      <c r="AQ11" s="2441"/>
      <c r="AR11" s="2441"/>
      <c r="AS11" s="2441"/>
      <c r="AT11" s="2441"/>
      <c r="AU11" s="2441"/>
      <c r="AV11" s="2441"/>
      <c r="AW11" s="2441"/>
      <c r="AX11" s="2441"/>
      <c r="AY11" s="2441"/>
      <c r="AZ11" s="2441"/>
      <c r="BA11" s="2441"/>
      <c r="BB11" s="2441"/>
      <c r="BC11" s="2441"/>
      <c r="BD11" s="2441"/>
      <c r="BE11" s="2441"/>
      <c r="BF11" s="2441"/>
      <c r="BG11" s="2441"/>
      <c r="BH11" s="2441"/>
      <c r="BI11" s="2441"/>
      <c r="BJ11" s="2441"/>
      <c r="BK11" s="2441"/>
      <c r="BL11" s="2441"/>
      <c r="BM11" s="2441"/>
      <c r="BN11" s="2441"/>
      <c r="BO11" s="2441"/>
      <c r="BP11" s="2441"/>
      <c r="BQ11" s="2441"/>
      <c r="BR11" s="2441"/>
      <c r="BS11" s="2441"/>
      <c r="BT11" s="2441"/>
      <c r="BU11" s="2441"/>
      <c r="BV11" s="2441"/>
      <c r="BW11" s="2441"/>
      <c r="BX11" s="2441"/>
      <c r="BY11" s="2441"/>
      <c r="BZ11" s="2441"/>
      <c r="CA11" s="2441"/>
      <c r="CB11" s="2441"/>
      <c r="CC11" s="2441"/>
      <c r="CD11" s="2441"/>
      <c r="CE11" s="2441"/>
      <c r="CF11" s="2441"/>
      <c r="CG11" s="2441"/>
      <c r="CH11" s="2441"/>
      <c r="CI11" s="2441"/>
      <c r="CJ11" s="2441"/>
      <c r="CK11" s="2441"/>
      <c r="CL11" s="2441"/>
      <c r="CM11" s="2442"/>
      <c r="CN11" s="2442"/>
      <c r="CO11" s="2442"/>
      <c r="CP11" s="2442"/>
      <c r="CQ11" s="2442"/>
      <c r="CR11" s="2442"/>
      <c r="CS11" s="2442"/>
      <c r="CT11" s="2442"/>
      <c r="CU11" s="2442"/>
      <c r="CV11" s="2442"/>
      <c r="CW11" s="2442"/>
      <c r="CX11" s="2442"/>
      <c r="CY11" s="2442"/>
      <c r="CZ11" s="2442"/>
      <c r="DA11" s="2442"/>
      <c r="DB11" s="2442"/>
      <c r="DC11" s="2442"/>
      <c r="DD11" s="2442"/>
      <c r="DE11" s="2442"/>
      <c r="DF11" s="2442"/>
      <c r="DG11" s="2442"/>
      <c r="DH11" s="2442"/>
      <c r="DI11" s="2442"/>
      <c r="DJ11" s="2442"/>
      <c r="DK11" s="2442"/>
      <c r="DL11" s="2442"/>
      <c r="DM11" s="2442"/>
      <c r="DN11" s="2442"/>
      <c r="DO11" s="2442"/>
      <c r="DP11" s="2442"/>
      <c r="DQ11" s="2442"/>
      <c r="DR11" s="2442"/>
      <c r="DS11" s="2442"/>
      <c r="DT11" s="2442"/>
      <c r="DU11" s="2442"/>
      <c r="DV11" s="2442"/>
      <c r="DW11" s="2442"/>
      <c r="DX11" s="2442"/>
      <c r="DY11" s="2442"/>
      <c r="DZ11" s="2442"/>
      <c r="EA11" s="2442"/>
      <c r="EB11" s="2442"/>
      <c r="EC11" s="2442"/>
      <c r="ED11" s="2442"/>
      <c r="EE11" s="2442"/>
      <c r="EF11" s="2442"/>
      <c r="EG11" s="2442"/>
      <c r="EH11" s="2442"/>
      <c r="EI11" s="2442"/>
      <c r="EJ11" s="2442"/>
      <c r="EK11" s="2442"/>
      <c r="EL11" s="2442"/>
      <c r="EM11" s="2442"/>
      <c r="EN11" s="2442"/>
      <c r="EO11" s="2442"/>
      <c r="EP11" s="2442"/>
      <c r="EQ11" s="2442"/>
      <c r="ER11" s="2442"/>
      <c r="ES11" s="2442"/>
      <c r="ET11" s="2442"/>
      <c r="EU11" s="2442"/>
      <c r="EV11" s="2442"/>
      <c r="EW11" s="2442"/>
      <c r="EX11" s="2442"/>
      <c r="EY11" s="2442"/>
      <c r="EZ11" s="2442"/>
      <c r="FA11" s="2442"/>
      <c r="FB11" s="2442"/>
      <c r="FC11" s="2442"/>
      <c r="FD11" s="2442"/>
      <c r="FE11" s="2442"/>
      <c r="FF11" s="2442"/>
      <c r="FG11" s="2442"/>
      <c r="FH11" s="2442"/>
      <c r="FI11" s="2442"/>
      <c r="FJ11" s="2442"/>
      <c r="FK11" s="2442"/>
      <c r="FL11" s="2442"/>
      <c r="FM11" s="2442"/>
      <c r="FN11" s="2442"/>
      <c r="FO11" s="2442"/>
      <c r="FP11" s="2442"/>
      <c r="FQ11" s="2442"/>
      <c r="FR11" s="2442"/>
      <c r="FS11" s="2442"/>
      <c r="FT11" s="2442"/>
      <c r="FU11" s="2442"/>
      <c r="FV11" s="2442"/>
      <c r="FW11" s="2442"/>
      <c r="FX11" s="2442"/>
      <c r="FY11" s="2442"/>
      <c r="FZ11" s="2442"/>
      <c r="GA11" s="2442"/>
      <c r="GB11" s="2442"/>
      <c r="GC11" s="2442"/>
      <c r="GD11" s="2442"/>
      <c r="GE11" s="2442"/>
      <c r="GF11" s="2442"/>
      <c r="GG11" s="2442"/>
      <c r="GH11" s="2442"/>
      <c r="GI11" s="2442"/>
      <c r="GJ11" s="2442"/>
      <c r="GK11" s="2442"/>
      <c r="GL11" s="2442"/>
      <c r="GM11" s="2442"/>
      <c r="GN11" s="2442"/>
      <c r="GO11" s="2442"/>
      <c r="GP11" s="2442"/>
      <c r="GQ11" s="2442"/>
      <c r="GR11" s="2442"/>
      <c r="GS11" s="2442"/>
      <c r="GT11" s="2442"/>
      <c r="GU11" s="2442"/>
      <c r="GV11" s="2442"/>
      <c r="GW11" s="2442"/>
      <c r="GX11" s="2442"/>
      <c r="GY11" s="2442"/>
      <c r="GZ11" s="2442"/>
      <c r="HA11" s="2442"/>
      <c r="HB11" s="2442"/>
      <c r="HC11" s="2442"/>
      <c r="HD11" s="2442"/>
      <c r="HE11" s="2442"/>
      <c r="HF11" s="2442"/>
      <c r="HG11" s="2442"/>
      <c r="HH11" s="2442"/>
      <c r="HI11" s="2442"/>
      <c r="HJ11" s="2442"/>
      <c r="HK11" s="2442"/>
      <c r="HL11" s="2442"/>
      <c r="HM11" s="2442"/>
      <c r="HN11" s="2442"/>
      <c r="HO11" s="2442"/>
      <c r="HP11" s="2442"/>
      <c r="HQ11" s="2442"/>
      <c r="HR11" s="2442"/>
      <c r="HS11" s="2442"/>
      <c r="HT11" s="2442"/>
      <c r="HU11" s="2442"/>
      <c r="HV11" s="2442"/>
      <c r="HW11" s="2442"/>
      <c r="HX11" s="2442"/>
      <c r="HY11" s="2442"/>
      <c r="HZ11" s="2442"/>
      <c r="IA11" s="2442"/>
      <c r="IB11" s="2442"/>
      <c r="IC11" s="2442"/>
      <c r="ID11" s="2442"/>
      <c r="IE11" s="2442"/>
      <c r="IF11" s="2442"/>
      <c r="IG11" s="2442"/>
      <c r="IH11" s="2442"/>
      <c r="II11" s="2442"/>
      <c r="IJ11" s="2442"/>
      <c r="IK11" s="2442"/>
      <c r="IL11" s="2442"/>
      <c r="IM11" s="2442"/>
      <c r="IN11" s="2442"/>
      <c r="IO11" s="2442"/>
      <c r="IP11" s="2442"/>
      <c r="IQ11" s="2442"/>
      <c r="IR11" s="2442"/>
      <c r="IS11" s="2442"/>
      <c r="IT11" s="2442"/>
      <c r="IU11" s="2442"/>
      <c r="IV11" s="2442"/>
      <c r="IW11" s="2442"/>
    </row>
    <row r="12" spans="1:257" ht="96">
      <c r="A12" s="72"/>
      <c r="B12" s="72"/>
      <c r="C12" s="72"/>
      <c r="D12" s="2586"/>
      <c r="E12" s="3222" t="s">
        <v>2627</v>
      </c>
      <c r="F12" s="3224"/>
      <c r="G12" s="1045"/>
      <c r="H12" s="2443" t="s">
        <v>239</v>
      </c>
      <c r="I12" s="2443" t="s">
        <v>239</v>
      </c>
      <c r="J12" s="2443" t="s">
        <v>239</v>
      </c>
      <c r="K12" s="2443" t="s">
        <v>239</v>
      </c>
      <c r="L12" s="2444" t="s">
        <v>2628</v>
      </c>
      <c r="M12" s="2444">
        <v>9600</v>
      </c>
      <c r="N12" s="2444"/>
      <c r="O12" s="2444"/>
      <c r="P12" s="2444">
        <v>1200</v>
      </c>
      <c r="Q12" s="2444">
        <v>1200</v>
      </c>
      <c r="R12" s="2444"/>
      <c r="S12" s="2444">
        <v>1200</v>
      </c>
      <c r="T12" s="2444">
        <v>1200</v>
      </c>
      <c r="U12" s="2444"/>
      <c r="V12" s="2444">
        <v>1200</v>
      </c>
      <c r="W12" s="2444">
        <v>1200</v>
      </c>
      <c r="X12" s="2444"/>
      <c r="Y12" s="2444">
        <v>1200</v>
      </c>
      <c r="Z12" s="2444">
        <v>1200</v>
      </c>
      <c r="AA12" s="2443" t="s">
        <v>2626</v>
      </c>
      <c r="AB12" s="2587" t="s">
        <v>893</v>
      </c>
      <c r="AD12" s="2441"/>
      <c r="CM12" s="2444"/>
      <c r="CN12" s="2444"/>
      <c r="CO12" s="2444"/>
      <c r="CP12" s="2444"/>
      <c r="CQ12" s="2444"/>
      <c r="CR12" s="2444"/>
      <c r="CS12" s="2444"/>
      <c r="CT12" s="2444"/>
      <c r="CU12" s="2444"/>
      <c r="CV12" s="2444"/>
      <c r="CW12" s="2444"/>
      <c r="CX12" s="2444"/>
      <c r="CY12" s="2444"/>
      <c r="CZ12" s="2444"/>
      <c r="DA12" s="2444"/>
      <c r="DB12" s="2444"/>
      <c r="DC12" s="2444"/>
      <c r="DD12" s="2444"/>
      <c r="DE12" s="2444"/>
      <c r="DF12" s="2444"/>
      <c r="DG12" s="2444"/>
      <c r="DH12" s="2444"/>
      <c r="DI12" s="2444"/>
      <c r="DJ12" s="2444"/>
      <c r="DK12" s="2444"/>
      <c r="DL12" s="2444"/>
      <c r="DM12" s="2444"/>
      <c r="DN12" s="2444"/>
      <c r="DO12" s="2444"/>
      <c r="DP12" s="2444"/>
      <c r="DQ12" s="2444"/>
      <c r="DR12" s="2444"/>
      <c r="DS12" s="2444"/>
      <c r="DT12" s="2444"/>
      <c r="DU12" s="2444"/>
      <c r="DV12" s="2444"/>
      <c r="DW12" s="2444"/>
      <c r="DX12" s="2444"/>
      <c r="DY12" s="2444"/>
      <c r="DZ12" s="2444"/>
      <c r="EA12" s="2444"/>
      <c r="EB12" s="2444"/>
      <c r="EC12" s="2444"/>
      <c r="ED12" s="2444"/>
      <c r="EE12" s="2444"/>
      <c r="EF12" s="2444"/>
      <c r="EG12" s="2444"/>
      <c r="EH12" s="2444"/>
      <c r="EI12" s="2444"/>
      <c r="EJ12" s="2444"/>
      <c r="EK12" s="2444"/>
      <c r="EL12" s="2444"/>
      <c r="EM12" s="2444"/>
      <c r="EN12" s="2444"/>
      <c r="EO12" s="2444"/>
      <c r="EP12" s="2444"/>
      <c r="EQ12" s="2444"/>
      <c r="ER12" s="2444"/>
      <c r="ES12" s="2444"/>
      <c r="ET12" s="2444"/>
      <c r="EU12" s="2444"/>
      <c r="EV12" s="2444"/>
      <c r="EW12" s="2444"/>
      <c r="EX12" s="2444"/>
      <c r="EY12" s="2444"/>
      <c r="EZ12" s="2444"/>
      <c r="FA12" s="2444"/>
      <c r="FB12" s="2444"/>
      <c r="FC12" s="2444"/>
      <c r="FD12" s="2444"/>
      <c r="FE12" s="2444"/>
      <c r="FF12" s="2444"/>
      <c r="FG12" s="2444"/>
      <c r="FH12" s="2444"/>
      <c r="FI12" s="2444"/>
      <c r="FJ12" s="2444"/>
      <c r="FK12" s="2444"/>
      <c r="FL12" s="2444"/>
      <c r="FM12" s="2444"/>
      <c r="FN12" s="2444"/>
      <c r="FO12" s="2444"/>
      <c r="FP12" s="2444"/>
      <c r="FQ12" s="2444"/>
      <c r="FR12" s="2444"/>
      <c r="FS12" s="2444"/>
      <c r="FT12" s="2444"/>
      <c r="FU12" s="2444"/>
      <c r="FV12" s="2444"/>
      <c r="FW12" s="2444"/>
      <c r="FX12" s="2444"/>
      <c r="FY12" s="2444"/>
      <c r="FZ12" s="2444"/>
      <c r="GA12" s="2444"/>
      <c r="GB12" s="2444"/>
      <c r="GC12" s="2444"/>
      <c r="GD12" s="2444"/>
      <c r="GE12" s="2444"/>
      <c r="GF12" s="2444"/>
      <c r="GG12" s="2444"/>
      <c r="GH12" s="2444"/>
      <c r="GI12" s="2444"/>
      <c r="GJ12" s="2444"/>
      <c r="GK12" s="2444"/>
      <c r="GL12" s="2444"/>
      <c r="GM12" s="2444"/>
      <c r="GN12" s="2444"/>
      <c r="GO12" s="2444"/>
      <c r="GP12" s="2444"/>
      <c r="GQ12" s="2444"/>
      <c r="GR12" s="2444"/>
      <c r="GS12" s="2444"/>
      <c r="GT12" s="2444"/>
      <c r="GU12" s="2444"/>
      <c r="GV12" s="2444"/>
      <c r="GW12" s="2444"/>
      <c r="GX12" s="2444"/>
      <c r="GY12" s="2444"/>
      <c r="GZ12" s="2444"/>
      <c r="HA12" s="2444"/>
      <c r="HB12" s="2444"/>
      <c r="HC12" s="2444"/>
      <c r="HD12" s="2444"/>
      <c r="HE12" s="2444"/>
      <c r="HF12" s="2444"/>
      <c r="HG12" s="2444"/>
      <c r="HH12" s="2444"/>
      <c r="HI12" s="2444"/>
      <c r="HJ12" s="2444"/>
      <c r="HK12" s="2444"/>
      <c r="HL12" s="2444"/>
      <c r="HM12" s="2444"/>
      <c r="HN12" s="2444"/>
      <c r="HO12" s="2444"/>
      <c r="HP12" s="2444"/>
      <c r="HQ12" s="2444"/>
      <c r="HR12" s="2444"/>
      <c r="HS12" s="2444"/>
      <c r="HT12" s="2444"/>
      <c r="HU12" s="2444"/>
      <c r="HV12" s="2444"/>
      <c r="HW12" s="2444"/>
      <c r="HX12" s="2444"/>
      <c r="HY12" s="2444"/>
      <c r="HZ12" s="2444"/>
      <c r="IA12" s="2444"/>
      <c r="IB12" s="2444"/>
      <c r="IC12" s="2444"/>
      <c r="ID12" s="2444"/>
      <c r="IE12" s="2444"/>
      <c r="IF12" s="2444"/>
      <c r="IG12" s="2444"/>
      <c r="IH12" s="2444"/>
      <c r="II12" s="2444"/>
      <c r="IJ12" s="2444"/>
      <c r="IK12" s="2444"/>
      <c r="IL12" s="2444"/>
      <c r="IM12" s="2444"/>
      <c r="IN12" s="2444"/>
      <c r="IO12" s="2444"/>
      <c r="IP12" s="2444"/>
      <c r="IQ12" s="2444"/>
      <c r="IR12" s="2444"/>
      <c r="IS12" s="2444"/>
      <c r="IT12" s="2444"/>
      <c r="IU12" s="2444"/>
      <c r="IV12" s="2444"/>
      <c r="IW12" s="2444"/>
    </row>
    <row r="13" spans="1:257" ht="48">
      <c r="A13" s="72"/>
      <c r="B13" s="72"/>
      <c r="C13" s="72"/>
      <c r="D13" s="2588"/>
      <c r="E13" s="3223"/>
      <c r="F13" s="3224"/>
      <c r="G13" s="2445"/>
      <c r="H13" s="2443" t="s">
        <v>239</v>
      </c>
      <c r="I13" s="2443" t="s">
        <v>239</v>
      </c>
      <c r="J13" s="2443" t="s">
        <v>239</v>
      </c>
      <c r="K13" s="2443" t="s">
        <v>239</v>
      </c>
      <c r="L13" s="2444" t="s">
        <v>2629</v>
      </c>
      <c r="M13" s="2444">
        <v>56000</v>
      </c>
      <c r="N13" s="2444"/>
      <c r="O13" s="2444"/>
      <c r="P13" s="2444">
        <v>7000</v>
      </c>
      <c r="Q13" s="2444">
        <v>7000</v>
      </c>
      <c r="R13" s="2444"/>
      <c r="S13" s="2444">
        <v>7000</v>
      </c>
      <c r="T13" s="2589">
        <v>7000</v>
      </c>
      <c r="U13" s="2444"/>
      <c r="V13" s="2444">
        <v>7000</v>
      </c>
      <c r="W13" s="2444">
        <v>7000</v>
      </c>
      <c r="X13" s="2444"/>
      <c r="Y13" s="2589">
        <v>7000</v>
      </c>
      <c r="Z13" s="2444">
        <v>7000</v>
      </c>
      <c r="AA13" s="2443" t="s">
        <v>2626</v>
      </c>
      <c r="AB13" s="2587" t="s">
        <v>893</v>
      </c>
      <c r="AD13" s="2441"/>
      <c r="CM13" s="2444"/>
      <c r="CN13" s="2444"/>
      <c r="CO13" s="2444"/>
      <c r="CP13" s="2444"/>
      <c r="CQ13" s="2444"/>
      <c r="CR13" s="2444"/>
      <c r="CS13" s="2444"/>
      <c r="CT13" s="2444"/>
      <c r="CU13" s="2444"/>
      <c r="CV13" s="2444"/>
      <c r="CW13" s="2444"/>
      <c r="CX13" s="2444"/>
      <c r="CY13" s="2444"/>
      <c r="CZ13" s="2444"/>
      <c r="DA13" s="2444"/>
      <c r="DB13" s="2444"/>
      <c r="DC13" s="2444"/>
      <c r="DD13" s="2444"/>
      <c r="DE13" s="2444"/>
      <c r="DF13" s="2444"/>
      <c r="DG13" s="2444"/>
      <c r="DH13" s="2444"/>
      <c r="DI13" s="2444"/>
      <c r="DJ13" s="2444"/>
      <c r="DK13" s="2444"/>
      <c r="DL13" s="2444"/>
      <c r="DM13" s="2444"/>
      <c r="DN13" s="2444"/>
      <c r="DO13" s="2444"/>
      <c r="DP13" s="2444"/>
      <c r="DQ13" s="2444"/>
      <c r="DR13" s="2444"/>
      <c r="DS13" s="2444"/>
      <c r="DT13" s="2444"/>
      <c r="DU13" s="2444"/>
      <c r="DV13" s="2444"/>
      <c r="DW13" s="2444"/>
      <c r="DX13" s="2444"/>
      <c r="DY13" s="2444"/>
      <c r="DZ13" s="2444"/>
      <c r="EA13" s="2444"/>
      <c r="EB13" s="2444"/>
      <c r="EC13" s="2444"/>
      <c r="ED13" s="2444"/>
      <c r="EE13" s="2444"/>
      <c r="EF13" s="2444"/>
      <c r="EG13" s="2444"/>
      <c r="EH13" s="2444"/>
      <c r="EI13" s="2444"/>
      <c r="EJ13" s="2444"/>
      <c r="EK13" s="2444"/>
      <c r="EL13" s="2444"/>
      <c r="EM13" s="2444"/>
      <c r="EN13" s="2444"/>
      <c r="EO13" s="2444"/>
      <c r="EP13" s="2444"/>
      <c r="EQ13" s="2444"/>
      <c r="ER13" s="2444"/>
      <c r="ES13" s="2444"/>
      <c r="ET13" s="2444"/>
      <c r="EU13" s="2444"/>
      <c r="EV13" s="2444"/>
      <c r="EW13" s="2444"/>
      <c r="EX13" s="2444"/>
      <c r="EY13" s="2444"/>
      <c r="EZ13" s="2444"/>
      <c r="FA13" s="2444"/>
      <c r="FB13" s="2444"/>
      <c r="FC13" s="2444"/>
      <c r="FD13" s="2444"/>
      <c r="FE13" s="2444"/>
      <c r="FF13" s="2444"/>
      <c r="FG13" s="2444"/>
      <c r="FH13" s="2444"/>
      <c r="FI13" s="2444"/>
      <c r="FJ13" s="2444"/>
      <c r="FK13" s="2444"/>
      <c r="FL13" s="2444"/>
      <c r="FM13" s="2444"/>
      <c r="FN13" s="2444"/>
      <c r="FO13" s="2444"/>
      <c r="FP13" s="2444"/>
      <c r="FQ13" s="2444"/>
      <c r="FR13" s="2444"/>
      <c r="FS13" s="2444"/>
      <c r="FT13" s="2444"/>
      <c r="FU13" s="2444"/>
      <c r="FV13" s="2444"/>
      <c r="FW13" s="2444"/>
      <c r="FX13" s="2444"/>
      <c r="FY13" s="2444"/>
      <c r="FZ13" s="2444"/>
      <c r="GA13" s="2444"/>
      <c r="GB13" s="2444"/>
      <c r="GC13" s="2444"/>
      <c r="GD13" s="2444"/>
      <c r="GE13" s="2444"/>
      <c r="GF13" s="2444"/>
      <c r="GG13" s="2444"/>
      <c r="GH13" s="2444"/>
      <c r="GI13" s="2444"/>
      <c r="GJ13" s="2444"/>
      <c r="GK13" s="2444"/>
      <c r="GL13" s="2444"/>
      <c r="GM13" s="2444"/>
      <c r="GN13" s="2444"/>
      <c r="GO13" s="2444"/>
      <c r="GP13" s="2444"/>
      <c r="GQ13" s="2444"/>
      <c r="GR13" s="2444"/>
      <c r="GS13" s="2444"/>
      <c r="GT13" s="2444"/>
      <c r="GU13" s="2444"/>
      <c r="GV13" s="2444"/>
      <c r="GW13" s="2444"/>
      <c r="GX13" s="2444"/>
      <c r="GY13" s="2444"/>
      <c r="GZ13" s="2444"/>
      <c r="HA13" s="2444"/>
      <c r="HB13" s="2444"/>
      <c r="HC13" s="2444"/>
      <c r="HD13" s="2444"/>
      <c r="HE13" s="2444"/>
      <c r="HF13" s="2444"/>
      <c r="HG13" s="2444"/>
      <c r="HH13" s="2444"/>
      <c r="HI13" s="2444"/>
      <c r="HJ13" s="2444"/>
      <c r="HK13" s="2444"/>
      <c r="HL13" s="2444"/>
      <c r="HM13" s="2444"/>
      <c r="HN13" s="2444"/>
      <c r="HO13" s="2444"/>
      <c r="HP13" s="2444"/>
      <c r="HQ13" s="2444"/>
      <c r="HR13" s="2444"/>
      <c r="HS13" s="2444"/>
      <c r="HT13" s="2444"/>
      <c r="HU13" s="2444"/>
      <c r="HV13" s="2444"/>
      <c r="HW13" s="2444"/>
      <c r="HX13" s="2444"/>
      <c r="HY13" s="2444"/>
      <c r="HZ13" s="2444"/>
      <c r="IA13" s="2444"/>
      <c r="IB13" s="2444"/>
      <c r="IC13" s="2444"/>
      <c r="ID13" s="2444"/>
      <c r="IE13" s="2444"/>
      <c r="IF13" s="2444"/>
      <c r="IG13" s="2444"/>
      <c r="IH13" s="2444"/>
      <c r="II13" s="2444"/>
      <c r="IJ13" s="2444"/>
      <c r="IK13" s="2444"/>
      <c r="IL13" s="2444"/>
      <c r="IM13" s="2444"/>
      <c r="IN13" s="2444"/>
      <c r="IO13" s="2444"/>
      <c r="IP13" s="2444"/>
      <c r="IQ13" s="2444"/>
      <c r="IR13" s="2444"/>
      <c r="IS13" s="2444"/>
      <c r="IT13" s="2444"/>
      <c r="IU13" s="2444"/>
      <c r="IV13" s="2444"/>
      <c r="IW13" s="2444"/>
    </row>
    <row r="14" spans="1:257" ht="72">
      <c r="A14" s="72"/>
      <c r="B14" s="72"/>
      <c r="C14" s="72"/>
      <c r="D14" s="2443"/>
      <c r="E14" s="2590" t="s">
        <v>2630</v>
      </c>
      <c r="F14" s="3225"/>
      <c r="G14" s="2590"/>
      <c r="H14" s="2443" t="s">
        <v>239</v>
      </c>
      <c r="I14" s="2443" t="s">
        <v>239</v>
      </c>
      <c r="J14" s="2443" t="s">
        <v>239</v>
      </c>
      <c r="K14" s="2443" t="s">
        <v>239</v>
      </c>
      <c r="L14" s="2444" t="s">
        <v>2631</v>
      </c>
      <c r="M14" s="2444">
        <v>3000</v>
      </c>
      <c r="N14" s="2444"/>
      <c r="O14" s="2444"/>
      <c r="P14" s="2444"/>
      <c r="Q14" s="2444">
        <v>500</v>
      </c>
      <c r="R14" s="2444"/>
      <c r="S14" s="2444">
        <v>500</v>
      </c>
      <c r="T14" s="2444"/>
      <c r="U14" s="2444">
        <v>500</v>
      </c>
      <c r="V14" s="2444"/>
      <c r="W14" s="2444">
        <v>500</v>
      </c>
      <c r="X14" s="2444"/>
      <c r="Y14" s="2444">
        <v>500</v>
      </c>
      <c r="Z14" s="2444">
        <v>500</v>
      </c>
      <c r="AA14" s="2443" t="s">
        <v>2626</v>
      </c>
      <c r="AB14" s="2587" t="s">
        <v>893</v>
      </c>
      <c r="AD14" s="2441"/>
      <c r="CM14" s="2444"/>
      <c r="CN14" s="2444"/>
      <c r="CO14" s="2444"/>
      <c r="CP14" s="2444"/>
      <c r="CQ14" s="2444"/>
      <c r="CR14" s="2444"/>
      <c r="CS14" s="2444"/>
      <c r="CT14" s="2444"/>
      <c r="CU14" s="2444"/>
      <c r="CV14" s="2444"/>
      <c r="CW14" s="2444"/>
      <c r="CX14" s="2444"/>
      <c r="CY14" s="2444"/>
      <c r="CZ14" s="2444"/>
      <c r="DA14" s="2444"/>
      <c r="DB14" s="2444"/>
      <c r="DC14" s="2444"/>
      <c r="DD14" s="2444"/>
      <c r="DE14" s="2444"/>
      <c r="DF14" s="2444"/>
      <c r="DG14" s="2444"/>
      <c r="DH14" s="2444"/>
      <c r="DI14" s="2444"/>
      <c r="DJ14" s="2444"/>
      <c r="DK14" s="2444"/>
      <c r="DL14" s="2444"/>
      <c r="DM14" s="2444"/>
      <c r="DN14" s="2444"/>
      <c r="DO14" s="2444"/>
      <c r="DP14" s="2444"/>
      <c r="DQ14" s="2444"/>
      <c r="DR14" s="2444"/>
      <c r="DS14" s="2444"/>
      <c r="DT14" s="2444"/>
      <c r="DU14" s="2444"/>
      <c r="DV14" s="2444"/>
      <c r="DW14" s="2444"/>
      <c r="DX14" s="2444"/>
      <c r="DY14" s="2444"/>
      <c r="DZ14" s="2444"/>
      <c r="EA14" s="2444"/>
      <c r="EB14" s="2444"/>
      <c r="EC14" s="2444"/>
      <c r="ED14" s="2444"/>
      <c r="EE14" s="2444"/>
      <c r="EF14" s="2444"/>
      <c r="EG14" s="2444"/>
      <c r="EH14" s="2444"/>
      <c r="EI14" s="2444"/>
      <c r="EJ14" s="2444"/>
      <c r="EK14" s="2444"/>
      <c r="EL14" s="2444"/>
      <c r="EM14" s="2444"/>
      <c r="EN14" s="2444"/>
      <c r="EO14" s="2444"/>
      <c r="EP14" s="2444"/>
      <c r="EQ14" s="2444"/>
      <c r="ER14" s="2444"/>
      <c r="ES14" s="2444"/>
      <c r="ET14" s="2444"/>
      <c r="EU14" s="2444"/>
      <c r="EV14" s="2444"/>
      <c r="EW14" s="2444"/>
      <c r="EX14" s="2444"/>
      <c r="EY14" s="2444"/>
      <c r="EZ14" s="2444"/>
      <c r="FA14" s="2444"/>
      <c r="FB14" s="2444"/>
      <c r="FC14" s="2444"/>
      <c r="FD14" s="2444"/>
      <c r="FE14" s="2444"/>
      <c r="FF14" s="2444"/>
      <c r="FG14" s="2444"/>
      <c r="FH14" s="2444"/>
      <c r="FI14" s="2444"/>
      <c r="FJ14" s="2444"/>
      <c r="FK14" s="2444"/>
      <c r="FL14" s="2444"/>
      <c r="FM14" s="2444"/>
      <c r="FN14" s="2444"/>
      <c r="FO14" s="2444"/>
      <c r="FP14" s="2444"/>
      <c r="FQ14" s="2444"/>
      <c r="FR14" s="2444"/>
      <c r="FS14" s="2444"/>
      <c r="FT14" s="2444"/>
      <c r="FU14" s="2444"/>
      <c r="FV14" s="2444"/>
      <c r="FW14" s="2444"/>
      <c r="FX14" s="2444"/>
      <c r="FY14" s="2444"/>
      <c r="FZ14" s="2444"/>
      <c r="GA14" s="2444"/>
      <c r="GB14" s="2444"/>
      <c r="GC14" s="2444"/>
      <c r="GD14" s="2444"/>
      <c r="GE14" s="2444"/>
      <c r="GF14" s="2444"/>
      <c r="GG14" s="2444"/>
      <c r="GH14" s="2444"/>
      <c r="GI14" s="2444"/>
      <c r="GJ14" s="2444"/>
      <c r="GK14" s="2444"/>
      <c r="GL14" s="2444"/>
      <c r="GM14" s="2444"/>
      <c r="GN14" s="2444"/>
      <c r="GO14" s="2444"/>
      <c r="GP14" s="2444"/>
      <c r="GQ14" s="2444"/>
      <c r="GR14" s="2444"/>
      <c r="GS14" s="2444"/>
      <c r="GT14" s="2444"/>
      <c r="GU14" s="2444"/>
      <c r="GV14" s="2444"/>
      <c r="GW14" s="2444"/>
      <c r="GX14" s="2444"/>
      <c r="GY14" s="2444"/>
      <c r="GZ14" s="2444"/>
      <c r="HA14" s="2444"/>
      <c r="HB14" s="2444"/>
      <c r="HC14" s="2444"/>
      <c r="HD14" s="2444"/>
      <c r="HE14" s="2444"/>
      <c r="HF14" s="2444"/>
      <c r="HG14" s="2444"/>
      <c r="HH14" s="2444"/>
      <c r="HI14" s="2444"/>
      <c r="HJ14" s="2444"/>
      <c r="HK14" s="2444"/>
      <c r="HL14" s="2444"/>
      <c r="HM14" s="2444"/>
      <c r="HN14" s="2444"/>
      <c r="HO14" s="2444"/>
      <c r="HP14" s="2444"/>
      <c r="HQ14" s="2444"/>
      <c r="HR14" s="2444"/>
      <c r="HS14" s="2444"/>
      <c r="HT14" s="2444"/>
      <c r="HU14" s="2444"/>
      <c r="HV14" s="2444"/>
      <c r="HW14" s="2444"/>
      <c r="HX14" s="2444"/>
      <c r="HY14" s="2444"/>
      <c r="HZ14" s="2444"/>
      <c r="IA14" s="2444"/>
      <c r="IB14" s="2444"/>
      <c r="IC14" s="2444"/>
      <c r="ID14" s="2444"/>
      <c r="IE14" s="2444"/>
      <c r="IF14" s="2444"/>
      <c r="IG14" s="2444"/>
      <c r="IH14" s="2444"/>
      <c r="II14" s="2444"/>
      <c r="IJ14" s="2444"/>
      <c r="IK14" s="2444"/>
      <c r="IL14" s="2444"/>
      <c r="IM14" s="2444"/>
      <c r="IN14" s="2444"/>
      <c r="IO14" s="2444"/>
      <c r="IP14" s="2444"/>
      <c r="IQ14" s="2444"/>
      <c r="IR14" s="2444"/>
      <c r="IS14" s="2444"/>
      <c r="IT14" s="2444"/>
      <c r="IU14" s="2444"/>
      <c r="IV14" s="2444"/>
      <c r="IW14" s="2444"/>
    </row>
    <row r="15" spans="1:257">
      <c r="A15" s="2447"/>
      <c r="B15" s="2447"/>
      <c r="C15" s="2447"/>
      <c r="D15" s="1311">
        <v>2</v>
      </c>
      <c r="E15" s="1379" t="s">
        <v>2632</v>
      </c>
      <c r="F15" s="2446"/>
      <c r="G15" s="2446"/>
      <c r="H15" s="2447"/>
      <c r="I15" s="2447"/>
      <c r="J15" s="2447"/>
      <c r="K15" s="2447"/>
      <c r="L15" s="2447"/>
      <c r="M15" s="2448"/>
      <c r="N15" s="2448">
        <f>SUM(M16:M22)</f>
        <v>231400</v>
      </c>
      <c r="O15" s="2726">
        <f>SUM(O16:O22)</f>
        <v>0</v>
      </c>
      <c r="P15" s="2726">
        <f t="shared" ref="P15:Z15" si="2">SUM(P16:P22)</f>
        <v>0</v>
      </c>
      <c r="Q15" s="2726">
        <f t="shared" si="2"/>
        <v>62250</v>
      </c>
      <c r="R15" s="2726">
        <f t="shared" si="2"/>
        <v>12250</v>
      </c>
      <c r="S15" s="2726">
        <f t="shared" si="2"/>
        <v>89650</v>
      </c>
      <c r="T15" s="2726">
        <f t="shared" si="2"/>
        <v>22250</v>
      </c>
      <c r="U15" s="2726">
        <f t="shared" si="2"/>
        <v>12250</v>
      </c>
      <c r="V15" s="2726">
        <f t="shared" si="2"/>
        <v>12250</v>
      </c>
      <c r="W15" s="2726">
        <f t="shared" si="2"/>
        <v>11000</v>
      </c>
      <c r="X15" s="2726">
        <f t="shared" si="2"/>
        <v>1000</v>
      </c>
      <c r="Y15" s="2726">
        <f t="shared" si="2"/>
        <v>1000</v>
      </c>
      <c r="Z15" s="2726">
        <f t="shared" si="2"/>
        <v>7500</v>
      </c>
      <c r="AA15" s="2220" t="s">
        <v>2633</v>
      </c>
      <c r="AB15" s="2440" t="s">
        <v>2634</v>
      </c>
      <c r="AD15" s="942"/>
    </row>
    <row r="16" spans="1:257" s="2452" customFormat="1" ht="96">
      <c r="A16" s="72"/>
      <c r="B16" s="72"/>
      <c r="C16" s="72"/>
      <c r="D16" s="2589"/>
      <c r="E16" s="977" t="s">
        <v>2635</v>
      </c>
      <c r="F16" s="996" t="s">
        <v>2636</v>
      </c>
      <c r="G16" s="977" t="s">
        <v>2637</v>
      </c>
      <c r="H16" s="2589" t="s">
        <v>239</v>
      </c>
      <c r="I16" s="2589" t="s">
        <v>239</v>
      </c>
      <c r="J16" s="2589" t="s">
        <v>239</v>
      </c>
      <c r="K16" s="2589" t="s">
        <v>239</v>
      </c>
      <c r="L16" s="977" t="s">
        <v>2638</v>
      </c>
      <c r="M16" s="996">
        <v>57500</v>
      </c>
      <c r="N16" s="2589"/>
      <c r="O16" s="2589"/>
      <c r="P16" s="2589"/>
      <c r="Q16" s="2589">
        <v>30000</v>
      </c>
      <c r="R16" s="2589"/>
      <c r="S16" s="2589"/>
      <c r="T16" s="2589">
        <v>10000</v>
      </c>
      <c r="U16" s="2589"/>
      <c r="V16" s="2589"/>
      <c r="W16" s="996">
        <v>10000</v>
      </c>
      <c r="X16" s="2589"/>
      <c r="Y16" s="2589"/>
      <c r="Z16" s="2589">
        <v>7500</v>
      </c>
      <c r="AA16" s="2516" t="s">
        <v>2626</v>
      </c>
      <c r="AB16" s="2591" t="s">
        <v>2634</v>
      </c>
      <c r="AC16" s="2450"/>
      <c r="AD16" s="2451"/>
      <c r="AE16" s="2450"/>
      <c r="AF16" s="2450"/>
      <c r="AG16" s="2450"/>
      <c r="AH16" s="2450"/>
      <c r="AI16" s="2450"/>
      <c r="AJ16" s="2450"/>
      <c r="AK16" s="2450"/>
      <c r="AL16" s="2450"/>
      <c r="AM16" s="2450"/>
      <c r="AN16" s="2450"/>
      <c r="AO16" s="2450"/>
      <c r="AP16" s="2450"/>
      <c r="AQ16" s="2450"/>
      <c r="AR16" s="2450"/>
      <c r="AS16" s="2450"/>
      <c r="AT16" s="2450"/>
      <c r="AU16" s="2450"/>
      <c r="AV16" s="2450"/>
      <c r="AW16" s="2450"/>
      <c r="AX16" s="2450"/>
      <c r="AY16" s="2450"/>
      <c r="AZ16" s="2450"/>
      <c r="BA16" s="2450"/>
      <c r="BB16" s="2450"/>
      <c r="BC16" s="2450"/>
      <c r="BD16" s="2450"/>
      <c r="BE16" s="2450"/>
      <c r="BF16" s="2450"/>
      <c r="BG16" s="2450"/>
      <c r="BH16" s="2450"/>
      <c r="BI16" s="2450"/>
      <c r="BJ16" s="2450"/>
      <c r="BK16" s="2450"/>
      <c r="BL16" s="2450"/>
    </row>
    <row r="17" spans="1:64" s="2452" customFormat="1" ht="96">
      <c r="A17" s="72"/>
      <c r="B17" s="72"/>
      <c r="C17" s="72"/>
      <c r="D17" s="2589"/>
      <c r="E17" s="977"/>
      <c r="F17" s="996"/>
      <c r="G17" s="977"/>
      <c r="H17" s="2589"/>
      <c r="I17" s="2589"/>
      <c r="J17" s="2589"/>
      <c r="K17" s="2589"/>
      <c r="L17" s="977" t="s">
        <v>2639</v>
      </c>
      <c r="M17" s="996">
        <v>47400</v>
      </c>
      <c r="N17" s="2589"/>
      <c r="O17" s="2589"/>
      <c r="P17" s="2589"/>
      <c r="Q17" s="2589">
        <v>20000</v>
      </c>
      <c r="R17" s="2589"/>
      <c r="S17" s="2589">
        <v>27400</v>
      </c>
      <c r="T17" s="2589"/>
      <c r="U17" s="2589"/>
      <c r="V17" s="2589"/>
      <c r="W17" s="996"/>
      <c r="X17" s="2589"/>
      <c r="Y17" s="2589"/>
      <c r="Z17" s="2589"/>
      <c r="AA17" s="2516"/>
      <c r="AB17" s="2591"/>
      <c r="AC17" s="2450"/>
      <c r="AD17" s="2451"/>
      <c r="AE17" s="2450"/>
      <c r="AF17" s="2450"/>
      <c r="AG17" s="2450"/>
      <c r="AH17" s="2450"/>
      <c r="AI17" s="2450"/>
      <c r="AJ17" s="2450"/>
      <c r="AK17" s="2450"/>
      <c r="AL17" s="2450"/>
      <c r="AM17" s="2450"/>
      <c r="AN17" s="2450"/>
      <c r="AO17" s="2450"/>
      <c r="AP17" s="2450"/>
      <c r="AQ17" s="2450"/>
      <c r="AR17" s="2450"/>
      <c r="AS17" s="2450"/>
      <c r="AT17" s="2450"/>
      <c r="AU17" s="2450"/>
      <c r="AV17" s="2450"/>
      <c r="AW17" s="2450"/>
      <c r="AX17" s="2450"/>
      <c r="AY17" s="2450"/>
      <c r="AZ17" s="2450"/>
      <c r="BA17" s="2450"/>
      <c r="BB17" s="2450"/>
      <c r="BC17" s="2450"/>
      <c r="BD17" s="2450"/>
      <c r="BE17" s="2450"/>
      <c r="BF17" s="2450"/>
      <c r="BG17" s="2450"/>
      <c r="BH17" s="2450"/>
      <c r="BI17" s="2450"/>
      <c r="BJ17" s="2450"/>
      <c r="BK17" s="2450"/>
      <c r="BL17" s="2450"/>
    </row>
    <row r="18" spans="1:64" s="2452" customFormat="1">
      <c r="A18" s="72"/>
      <c r="B18" s="72"/>
      <c r="C18" s="72"/>
      <c r="D18" s="2589"/>
      <c r="E18" s="977"/>
      <c r="F18" s="996"/>
      <c r="G18" s="977"/>
      <c r="H18" s="2589"/>
      <c r="I18" s="2589"/>
      <c r="J18" s="2589"/>
      <c r="K18" s="2589"/>
      <c r="L18" s="977"/>
      <c r="M18" s="996"/>
      <c r="N18" s="2589"/>
      <c r="O18" s="2589"/>
      <c r="P18" s="2589"/>
      <c r="Q18" s="2589"/>
      <c r="R18" s="2589"/>
      <c r="S18" s="2589"/>
      <c r="T18" s="2589"/>
      <c r="U18" s="2589"/>
      <c r="V18" s="2589"/>
      <c r="W18" s="996"/>
      <c r="X18" s="2589"/>
      <c r="Y18" s="2589"/>
      <c r="Z18" s="2589"/>
      <c r="AA18" s="2516"/>
      <c r="AB18" s="2591"/>
      <c r="AC18" s="2450"/>
      <c r="AD18" s="2451"/>
      <c r="AE18" s="2450"/>
      <c r="AF18" s="2450"/>
      <c r="AG18" s="2450"/>
      <c r="AH18" s="2450"/>
      <c r="AI18" s="2450"/>
      <c r="AJ18" s="2450"/>
      <c r="AK18" s="2450"/>
      <c r="AL18" s="2450"/>
      <c r="AM18" s="2450"/>
      <c r="AN18" s="2450"/>
      <c r="AO18" s="2450"/>
      <c r="AP18" s="2450"/>
      <c r="AQ18" s="2450"/>
      <c r="AR18" s="2450"/>
      <c r="AS18" s="2450"/>
      <c r="AT18" s="2450"/>
      <c r="AU18" s="2450"/>
      <c r="AV18" s="2450"/>
      <c r="AW18" s="2450"/>
      <c r="AX18" s="2450"/>
      <c r="AY18" s="2450"/>
      <c r="AZ18" s="2450"/>
      <c r="BA18" s="2450"/>
      <c r="BB18" s="2450"/>
      <c r="BC18" s="2450"/>
      <c r="BD18" s="2450"/>
      <c r="BE18" s="2450"/>
      <c r="BF18" s="2450"/>
      <c r="BG18" s="2450"/>
      <c r="BH18" s="2450"/>
      <c r="BI18" s="2450"/>
      <c r="BJ18" s="2450"/>
      <c r="BK18" s="2450"/>
      <c r="BL18" s="2450"/>
    </row>
    <row r="19" spans="1:64" s="2452" customFormat="1" ht="96">
      <c r="A19" s="72"/>
      <c r="B19" s="72"/>
      <c r="C19" s="72"/>
      <c r="D19" s="2589"/>
      <c r="E19" s="2589" t="s">
        <v>2640</v>
      </c>
      <c r="F19" s="996" t="s">
        <v>2641</v>
      </c>
      <c r="G19" s="2589"/>
      <c r="H19" s="2589" t="s">
        <v>239</v>
      </c>
      <c r="I19" s="2589" t="s">
        <v>239</v>
      </c>
      <c r="J19" s="2589" t="s">
        <v>239</v>
      </c>
      <c r="K19" s="2589" t="s">
        <v>239</v>
      </c>
      <c r="L19" s="996" t="s">
        <v>2642</v>
      </c>
      <c r="M19" s="996">
        <v>67500</v>
      </c>
      <c r="N19" s="2589"/>
      <c r="O19" s="2589"/>
      <c r="P19" s="2589"/>
      <c r="Q19" s="2589">
        <v>11250</v>
      </c>
      <c r="R19" s="2589">
        <v>11250</v>
      </c>
      <c r="S19" s="2589">
        <v>11250</v>
      </c>
      <c r="T19" s="2589">
        <v>11250</v>
      </c>
      <c r="U19" s="2589">
        <v>11250</v>
      </c>
      <c r="V19" s="2589">
        <v>11250</v>
      </c>
      <c r="W19" s="2589"/>
      <c r="X19" s="2589"/>
      <c r="Y19" s="2589"/>
      <c r="Z19" s="2589"/>
      <c r="AA19" s="2516" t="s">
        <v>2626</v>
      </c>
      <c r="AB19" s="2591" t="s">
        <v>2634</v>
      </c>
      <c r="AC19" s="2450"/>
      <c r="AD19" s="2451"/>
      <c r="AE19" s="2450"/>
      <c r="AF19" s="2450"/>
      <c r="AG19" s="2450"/>
      <c r="AH19" s="2450"/>
      <c r="AI19" s="2450"/>
      <c r="AJ19" s="2450"/>
      <c r="AK19" s="2450"/>
      <c r="AL19" s="2450"/>
      <c r="AM19" s="2450"/>
      <c r="AN19" s="2450"/>
      <c r="AO19" s="2450"/>
      <c r="AP19" s="2450"/>
      <c r="AQ19" s="2450"/>
      <c r="AR19" s="2450"/>
      <c r="AS19" s="2450"/>
      <c r="AT19" s="2450"/>
      <c r="AU19" s="2450"/>
      <c r="AV19" s="2450"/>
      <c r="AW19" s="2450"/>
      <c r="AX19" s="2450"/>
      <c r="AY19" s="2450"/>
      <c r="AZ19" s="2450"/>
      <c r="BA19" s="2450"/>
      <c r="BB19" s="2450"/>
      <c r="BC19" s="2450"/>
      <c r="BD19" s="2450"/>
      <c r="BE19" s="2450"/>
      <c r="BF19" s="2450"/>
      <c r="BG19" s="2450"/>
      <c r="BH19" s="2450"/>
      <c r="BI19" s="2450"/>
      <c r="BJ19" s="2450"/>
      <c r="BK19" s="2450"/>
      <c r="BL19" s="2450"/>
    </row>
    <row r="20" spans="1:64" s="2452" customFormat="1" ht="48">
      <c r="A20" s="72"/>
      <c r="B20" s="72"/>
      <c r="C20" s="72"/>
      <c r="D20" s="2589"/>
      <c r="E20" s="2592"/>
      <c r="F20" s="996"/>
      <c r="G20" s="2593"/>
      <c r="H20" s="2589"/>
      <c r="I20" s="2589"/>
      <c r="J20" s="2589"/>
      <c r="K20" s="2589"/>
      <c r="L20" s="996" t="s">
        <v>2643</v>
      </c>
      <c r="M20" s="996">
        <v>9000</v>
      </c>
      <c r="N20" s="2589"/>
      <c r="O20" s="2589"/>
      <c r="P20" s="2589"/>
      <c r="Q20" s="2589">
        <v>1000</v>
      </c>
      <c r="R20" s="2589">
        <v>1000</v>
      </c>
      <c r="S20" s="2589">
        <v>1000</v>
      </c>
      <c r="T20" s="2589">
        <v>1000</v>
      </c>
      <c r="U20" s="2589">
        <v>1000</v>
      </c>
      <c r="V20" s="2589">
        <v>1000</v>
      </c>
      <c r="W20" s="2589">
        <v>1000</v>
      </c>
      <c r="X20" s="2589">
        <v>1000</v>
      </c>
      <c r="Y20" s="2589">
        <v>1000</v>
      </c>
      <c r="Z20" s="2589"/>
      <c r="AA20" s="2516"/>
      <c r="AB20" s="2591"/>
      <c r="AC20" s="2450"/>
      <c r="AD20" s="2451"/>
      <c r="AE20" s="2450"/>
      <c r="AF20" s="2450"/>
      <c r="AG20" s="2450"/>
      <c r="AH20" s="2450"/>
      <c r="AI20" s="2450"/>
      <c r="AJ20" s="2450"/>
      <c r="AK20" s="2450"/>
      <c r="AL20" s="2450"/>
      <c r="AM20" s="2450"/>
      <c r="AN20" s="2450"/>
      <c r="AO20" s="2450"/>
      <c r="AP20" s="2450"/>
      <c r="AQ20" s="2450"/>
      <c r="AR20" s="2450"/>
      <c r="AS20" s="2450"/>
      <c r="AT20" s="2450"/>
      <c r="AU20" s="2450"/>
      <c r="AV20" s="2450"/>
      <c r="AW20" s="2450"/>
      <c r="AX20" s="2450"/>
      <c r="AY20" s="2450"/>
      <c r="AZ20" s="2450"/>
      <c r="BA20" s="2450"/>
      <c r="BB20" s="2450"/>
      <c r="BC20" s="2450"/>
      <c r="BD20" s="2450"/>
      <c r="BE20" s="2450"/>
      <c r="BF20" s="2450"/>
      <c r="BG20" s="2450"/>
      <c r="BH20" s="2450"/>
      <c r="BI20" s="2450"/>
      <c r="BJ20" s="2450"/>
      <c r="BK20" s="2450"/>
      <c r="BL20" s="2450"/>
    </row>
    <row r="21" spans="1:64" s="2452" customFormat="1" ht="72">
      <c r="A21" s="72"/>
      <c r="B21" s="72"/>
      <c r="C21" s="72"/>
      <c r="D21" s="2589"/>
      <c r="E21" s="2594" t="s">
        <v>2644</v>
      </c>
      <c r="F21" s="2595"/>
      <c r="G21" s="2596"/>
      <c r="H21" s="1012" t="s">
        <v>239</v>
      </c>
      <c r="I21" s="1012" t="s">
        <v>239</v>
      </c>
      <c r="J21" s="1012" t="s">
        <v>239</v>
      </c>
      <c r="K21" s="1012" t="s">
        <v>239</v>
      </c>
      <c r="L21" s="975" t="s">
        <v>2645</v>
      </c>
      <c r="M21" s="1013">
        <v>20000</v>
      </c>
      <c r="N21" s="2589"/>
      <c r="O21" s="2589"/>
      <c r="P21" s="2589"/>
      <c r="Q21" s="2589"/>
      <c r="R21" s="2589"/>
      <c r="S21" s="2589">
        <v>20000</v>
      </c>
      <c r="T21" s="2589"/>
      <c r="U21" s="2589"/>
      <c r="V21" s="2589"/>
      <c r="W21" s="2589"/>
      <c r="X21" s="2589"/>
      <c r="Y21" s="2589"/>
      <c r="Z21" s="2589"/>
      <c r="AA21" s="2516"/>
      <c r="AB21" s="2591"/>
      <c r="AC21" s="2450"/>
      <c r="AD21" s="2451"/>
      <c r="AE21" s="2450"/>
      <c r="AF21" s="2450"/>
      <c r="AG21" s="2450"/>
      <c r="AH21" s="2450"/>
      <c r="AI21" s="2450"/>
      <c r="AJ21" s="2450"/>
      <c r="AK21" s="2450"/>
      <c r="AL21" s="2450"/>
      <c r="AM21" s="2450"/>
      <c r="AN21" s="2450"/>
      <c r="AO21" s="2450"/>
      <c r="AP21" s="2450"/>
      <c r="AQ21" s="2450"/>
      <c r="AR21" s="2450"/>
      <c r="AS21" s="2450"/>
      <c r="AT21" s="2450"/>
      <c r="AU21" s="2450"/>
      <c r="AV21" s="2450"/>
      <c r="AW21" s="2450"/>
      <c r="AX21" s="2450"/>
      <c r="AY21" s="2450"/>
      <c r="AZ21" s="2450"/>
      <c r="BA21" s="2450"/>
      <c r="BB21" s="2450"/>
      <c r="BC21" s="2450"/>
      <c r="BD21" s="2450"/>
      <c r="BE21" s="2450"/>
      <c r="BF21" s="2450"/>
      <c r="BG21" s="2450"/>
      <c r="BH21" s="2450"/>
      <c r="BI21" s="2450"/>
      <c r="BJ21" s="2450"/>
      <c r="BK21" s="2450"/>
      <c r="BL21" s="2450"/>
    </row>
    <row r="22" spans="1:64" s="2453" customFormat="1" ht="48">
      <c r="A22" s="72"/>
      <c r="B22" s="72"/>
      <c r="C22" s="72"/>
      <c r="D22" s="2597"/>
      <c r="E22" s="2594"/>
      <c r="F22" s="2595"/>
      <c r="G22" s="2596"/>
      <c r="H22" s="1012" t="s">
        <v>239</v>
      </c>
      <c r="I22" s="1012" t="s">
        <v>239</v>
      </c>
      <c r="J22" s="1012" t="s">
        <v>239</v>
      </c>
      <c r="K22" s="1012" t="s">
        <v>239</v>
      </c>
      <c r="L22" s="975" t="s">
        <v>2646</v>
      </c>
      <c r="M22" s="1013">
        <v>30000</v>
      </c>
      <c r="N22" s="1369"/>
      <c r="O22" s="1012"/>
      <c r="P22" s="2589"/>
      <c r="Q22" s="2589"/>
      <c r="R22" s="1012"/>
      <c r="S22" s="1012">
        <v>30000</v>
      </c>
      <c r="T22" s="1012"/>
      <c r="U22" s="1012"/>
      <c r="V22" s="1012"/>
      <c r="W22" s="1012"/>
      <c r="X22" s="1012"/>
      <c r="Y22" s="1012"/>
      <c r="Z22" s="1012"/>
      <c r="AA22" s="2516" t="s">
        <v>2626</v>
      </c>
      <c r="AB22" s="2591" t="s">
        <v>2647</v>
      </c>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row>
    <row r="23" spans="1:64" s="2419" customFormat="1" ht="66" customHeight="1">
      <c r="A23" s="2526"/>
      <c r="B23" s="2526"/>
      <c r="C23" s="2526"/>
      <c r="D23" s="2454">
        <v>3</v>
      </c>
      <c r="E23" s="3211" t="s">
        <v>2648</v>
      </c>
      <c r="F23" s="3212"/>
      <c r="G23" s="3213"/>
      <c r="H23" s="2455"/>
      <c r="I23" s="2455"/>
      <c r="J23" s="2455"/>
      <c r="K23" s="2455"/>
      <c r="L23" s="2455"/>
      <c r="M23" s="2456">
        <v>378800</v>
      </c>
      <c r="N23" s="2457">
        <f>SUM(M24:M28)</f>
        <v>378800</v>
      </c>
      <c r="O23" s="2456">
        <f>SUM(O24:O28)</f>
        <v>1500</v>
      </c>
      <c r="P23" s="2456">
        <f t="shared" ref="P23:Z23" si="3">SUM(P24:P28)</f>
        <v>1500</v>
      </c>
      <c r="Q23" s="2456">
        <f t="shared" si="3"/>
        <v>10000</v>
      </c>
      <c r="R23" s="2456">
        <f t="shared" si="3"/>
        <v>339700</v>
      </c>
      <c r="S23" s="2456">
        <f t="shared" si="3"/>
        <v>5075</v>
      </c>
      <c r="T23" s="2456">
        <f t="shared" si="3"/>
        <v>3925</v>
      </c>
      <c r="U23" s="2456">
        <f t="shared" si="3"/>
        <v>2000</v>
      </c>
      <c r="V23" s="2456">
        <f t="shared" si="3"/>
        <v>4700</v>
      </c>
      <c r="W23" s="2456">
        <f t="shared" si="3"/>
        <v>3500</v>
      </c>
      <c r="X23" s="2456">
        <f t="shared" si="3"/>
        <v>3900</v>
      </c>
      <c r="Y23" s="2456">
        <f t="shared" si="3"/>
        <v>1500</v>
      </c>
      <c r="Z23" s="2456">
        <f t="shared" si="3"/>
        <v>1500</v>
      </c>
      <c r="AA23" s="2455" t="s">
        <v>2626</v>
      </c>
      <c r="AB23" s="2458" t="s">
        <v>2649</v>
      </c>
    </row>
    <row r="24" spans="1:64" ht="312">
      <c r="A24" s="72"/>
      <c r="B24" s="72"/>
      <c r="C24" s="72"/>
      <c r="D24" s="2459"/>
      <c r="E24" s="2460" t="s">
        <v>2650</v>
      </c>
      <c r="F24" s="2461" t="s">
        <v>2651</v>
      </c>
      <c r="G24" s="2461" t="s">
        <v>2652</v>
      </c>
      <c r="H24" s="2462" t="s">
        <v>239</v>
      </c>
      <c r="I24" s="2461" t="s">
        <v>239</v>
      </c>
      <c r="J24" s="2461" t="s">
        <v>239</v>
      </c>
      <c r="K24" s="2461" t="s">
        <v>239</v>
      </c>
      <c r="L24" s="2460" t="s">
        <v>2653</v>
      </c>
      <c r="M24" s="2463">
        <v>1925</v>
      </c>
      <c r="N24" s="2464"/>
      <c r="O24" s="2463"/>
      <c r="P24" s="2463" t="s">
        <v>978</v>
      </c>
      <c r="Q24" s="2463"/>
      <c r="R24" s="2463"/>
      <c r="S24" s="2463"/>
      <c r="T24" s="2463">
        <v>1925</v>
      </c>
      <c r="U24" s="2463"/>
      <c r="V24" s="2463"/>
      <c r="W24" s="2463"/>
      <c r="X24" s="2463"/>
      <c r="Y24" s="2463"/>
      <c r="Z24" s="2463"/>
      <c r="AA24" s="2461" t="s">
        <v>2654</v>
      </c>
      <c r="AB24" s="2459"/>
    </row>
    <row r="25" spans="1:64" ht="216">
      <c r="A25" s="72"/>
      <c r="B25" s="72"/>
      <c r="C25" s="72"/>
      <c r="D25" s="2465"/>
      <c r="E25" s="2460" t="s">
        <v>2655</v>
      </c>
      <c r="F25" s="2461" t="s">
        <v>2656</v>
      </c>
      <c r="G25" s="2466" t="s">
        <v>2657</v>
      </c>
      <c r="H25" s="2462" t="s">
        <v>239</v>
      </c>
      <c r="I25" s="2462" t="s">
        <v>239</v>
      </c>
      <c r="J25" s="2462" t="s">
        <v>239</v>
      </c>
      <c r="K25" s="2462" t="s">
        <v>239</v>
      </c>
      <c r="L25" s="2467" t="s">
        <v>2658</v>
      </c>
      <c r="M25" s="2463">
        <v>324000</v>
      </c>
      <c r="N25" s="2468"/>
      <c r="O25" s="2469"/>
      <c r="P25" s="2469"/>
      <c r="Q25" s="2469"/>
      <c r="R25" s="2469">
        <v>324000</v>
      </c>
      <c r="S25" s="2469"/>
      <c r="T25" s="2469"/>
      <c r="U25" s="2469"/>
      <c r="V25" s="2469"/>
      <c r="W25" s="2469"/>
      <c r="X25" s="2469"/>
      <c r="Y25" s="2469"/>
      <c r="Z25" s="2469"/>
      <c r="AA25" s="2461" t="s">
        <v>2654</v>
      </c>
      <c r="AB25" s="2470"/>
    </row>
    <row r="26" spans="1:64" ht="48">
      <c r="A26" s="72"/>
      <c r="B26" s="72"/>
      <c r="C26" s="72"/>
      <c r="D26" s="2471"/>
      <c r="E26" s="2472" t="s">
        <v>2659</v>
      </c>
      <c r="F26" s="2473" t="s">
        <v>2660</v>
      </c>
      <c r="G26" s="2474"/>
      <c r="H26" s="2462" t="s">
        <v>239</v>
      </c>
      <c r="I26" s="2462" t="s">
        <v>239</v>
      </c>
      <c r="J26" s="2462" t="s">
        <v>239</v>
      </c>
      <c r="K26" s="2462" t="s">
        <v>239</v>
      </c>
      <c r="L26" s="2475" t="s">
        <v>2661</v>
      </c>
      <c r="M26" s="2463">
        <v>19200</v>
      </c>
      <c r="N26" s="2476"/>
      <c r="O26" s="2469">
        <v>1500</v>
      </c>
      <c r="P26" s="2469">
        <v>1500</v>
      </c>
      <c r="Q26" s="2469">
        <v>1500</v>
      </c>
      <c r="R26" s="2469">
        <v>1500</v>
      </c>
      <c r="S26" s="2469">
        <v>1500</v>
      </c>
      <c r="T26" s="2469">
        <v>2000</v>
      </c>
      <c r="U26" s="2469">
        <v>2000</v>
      </c>
      <c r="V26" s="2469">
        <v>1700</v>
      </c>
      <c r="W26" s="2469">
        <v>1500</v>
      </c>
      <c r="X26" s="2469">
        <v>1500</v>
      </c>
      <c r="Y26" s="2469">
        <v>1500</v>
      </c>
      <c r="Z26" s="2469">
        <v>1500</v>
      </c>
      <c r="AA26" s="2461" t="s">
        <v>2654</v>
      </c>
      <c r="AB26" s="2477">
        <f>SUM(O26:Z26)</f>
        <v>19200</v>
      </c>
    </row>
    <row r="27" spans="1:64" ht="384">
      <c r="A27" s="72"/>
      <c r="B27" s="72"/>
      <c r="C27" s="72"/>
      <c r="D27" s="2471"/>
      <c r="E27" s="2472" t="s">
        <v>2662</v>
      </c>
      <c r="F27" s="2473" t="s">
        <v>2663</v>
      </c>
      <c r="G27" s="2474" t="s">
        <v>2664</v>
      </c>
      <c r="H27" s="2461" t="s">
        <v>239</v>
      </c>
      <c r="I27" s="2462" t="s">
        <v>239</v>
      </c>
      <c r="J27" s="2462" t="s">
        <v>239</v>
      </c>
      <c r="K27" s="2462" t="s">
        <v>239</v>
      </c>
      <c r="L27" s="2478" t="s">
        <v>2665</v>
      </c>
      <c r="M27" s="2463">
        <v>29475</v>
      </c>
      <c r="N27" s="2476"/>
      <c r="O27" s="2469"/>
      <c r="P27" s="2469"/>
      <c r="Q27" s="2469">
        <v>8500</v>
      </c>
      <c r="R27" s="2469">
        <v>10000</v>
      </c>
      <c r="S27" s="2469">
        <v>3575</v>
      </c>
      <c r="T27" s="2469"/>
      <c r="U27" s="2469"/>
      <c r="V27" s="2469">
        <v>3000</v>
      </c>
      <c r="W27" s="2469">
        <v>2000</v>
      </c>
      <c r="X27" s="2469">
        <v>2400</v>
      </c>
      <c r="Y27" s="2469"/>
      <c r="Z27" s="2469"/>
      <c r="AA27" s="2461" t="s">
        <v>2654</v>
      </c>
      <c r="AB27" s="2459"/>
    </row>
    <row r="28" spans="1:64" ht="144">
      <c r="A28" s="72"/>
      <c r="B28" s="72"/>
      <c r="C28" s="72"/>
      <c r="D28" s="2459"/>
      <c r="E28" s="2460" t="s">
        <v>2666</v>
      </c>
      <c r="F28" s="2461" t="s">
        <v>2667</v>
      </c>
      <c r="G28" s="2461" t="s">
        <v>2668</v>
      </c>
      <c r="H28" s="2462" t="s">
        <v>239</v>
      </c>
      <c r="I28" s="2461" t="s">
        <v>239</v>
      </c>
      <c r="J28" s="2461" t="s">
        <v>239</v>
      </c>
      <c r="K28" s="2461" t="s">
        <v>239</v>
      </c>
      <c r="L28" s="2479" t="s">
        <v>2669</v>
      </c>
      <c r="M28" s="2463">
        <v>4200</v>
      </c>
      <c r="N28" s="2464"/>
      <c r="O28" s="2463"/>
      <c r="P28" s="2463"/>
      <c r="Q28" s="2463"/>
      <c r="R28" s="2463">
        <v>4200</v>
      </c>
      <c r="S28" s="2463"/>
      <c r="T28" s="2463"/>
      <c r="U28" s="2463"/>
      <c r="V28" s="2463"/>
      <c r="W28" s="2463"/>
      <c r="X28" s="2463"/>
      <c r="Y28" s="2463"/>
      <c r="Z28" s="2463"/>
      <c r="AA28" s="2461" t="s">
        <v>2654</v>
      </c>
      <c r="AB28" s="2459"/>
    </row>
    <row r="29" spans="1:64">
      <c r="A29" s="2577" t="s">
        <v>2670</v>
      </c>
      <c r="B29" s="2577">
        <v>3</v>
      </c>
      <c r="C29" s="2577">
        <v>6</v>
      </c>
      <c r="D29" s="2220">
        <v>4</v>
      </c>
      <c r="E29" s="3214" t="s">
        <v>2671</v>
      </c>
      <c r="F29" s="3215"/>
      <c r="G29" s="3215"/>
      <c r="H29" s="3215"/>
      <c r="I29" s="3215"/>
      <c r="J29" s="3215"/>
      <c r="K29" s="3215"/>
      <c r="L29" s="3215"/>
      <c r="M29" s="3216"/>
      <c r="N29" s="2222">
        <f>SUM(M32:M69)</f>
        <v>232060</v>
      </c>
      <c r="O29" s="1105">
        <f>SUM(O31:O69)</f>
        <v>3600</v>
      </c>
      <c r="P29" s="1105">
        <f t="shared" ref="P29:Z29" si="4">SUM(P31:P69)</f>
        <v>1500</v>
      </c>
      <c r="Q29" s="1105">
        <f t="shared" si="4"/>
        <v>13350</v>
      </c>
      <c r="R29" s="1105">
        <f t="shared" si="4"/>
        <v>49200</v>
      </c>
      <c r="S29" s="1105">
        <f t="shared" si="4"/>
        <v>32450</v>
      </c>
      <c r="T29" s="1105">
        <f t="shared" si="4"/>
        <v>54240</v>
      </c>
      <c r="U29" s="1105">
        <f t="shared" si="4"/>
        <v>3000</v>
      </c>
      <c r="V29" s="1105">
        <f t="shared" si="4"/>
        <v>500</v>
      </c>
      <c r="W29" s="1105">
        <f t="shared" si="4"/>
        <v>62700</v>
      </c>
      <c r="X29" s="1105">
        <f t="shared" si="4"/>
        <v>3960</v>
      </c>
      <c r="Y29" s="1105">
        <f t="shared" si="4"/>
        <v>7560</v>
      </c>
      <c r="Z29" s="1105">
        <f t="shared" si="4"/>
        <v>0</v>
      </c>
      <c r="AA29" s="1089"/>
      <c r="AB29" s="2480"/>
    </row>
    <row r="30" spans="1:64">
      <c r="A30" s="2481"/>
      <c r="B30" s="2481"/>
      <c r="C30" s="2481"/>
      <c r="D30" s="2482"/>
      <c r="E30" s="3214" t="s">
        <v>2672</v>
      </c>
      <c r="F30" s="3215"/>
      <c r="G30" s="3215"/>
      <c r="H30" s="3215"/>
      <c r="I30" s="3215"/>
      <c r="J30" s="3215"/>
      <c r="K30" s="3215"/>
      <c r="L30" s="3215"/>
      <c r="M30" s="3216"/>
      <c r="N30" s="2483"/>
      <c r="O30" s="2484"/>
      <c r="P30" s="2484"/>
      <c r="Q30" s="2485"/>
      <c r="R30" s="2484"/>
      <c r="S30" s="2484"/>
      <c r="T30" s="2484"/>
      <c r="U30" s="2484"/>
      <c r="V30" s="2484"/>
      <c r="W30" s="2484"/>
      <c r="X30" s="2484"/>
      <c r="Y30" s="2484"/>
      <c r="Z30" s="2484"/>
      <c r="AA30" s="2486"/>
      <c r="AB30" s="2480"/>
    </row>
    <row r="31" spans="1:64" s="2495" customFormat="1" ht="48">
      <c r="D31" s="2487"/>
      <c r="E31" s="2488" t="s">
        <v>2673</v>
      </c>
      <c r="F31" s="2489" t="s">
        <v>2674</v>
      </c>
      <c r="G31" s="2490"/>
      <c r="H31" s="2491"/>
      <c r="I31" s="2491"/>
      <c r="J31" s="2491"/>
      <c r="K31" s="2491"/>
      <c r="L31" s="2490"/>
      <c r="M31" s="2490"/>
      <c r="N31" s="2492"/>
      <c r="O31" s="2493"/>
      <c r="P31" s="2493"/>
      <c r="Q31" s="2493"/>
      <c r="R31" s="2493"/>
      <c r="S31" s="2493"/>
      <c r="T31" s="2493"/>
      <c r="U31" s="2493"/>
      <c r="V31" s="2493"/>
      <c r="W31" s="2493"/>
      <c r="X31" s="2493"/>
      <c r="Y31" s="2493"/>
      <c r="Z31" s="2493"/>
      <c r="AA31" s="2490"/>
      <c r="AB31" s="2494"/>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192">
      <c r="D32" s="2496"/>
      <c r="E32" s="2598" t="s">
        <v>2675</v>
      </c>
      <c r="F32" s="1044" t="s">
        <v>2676</v>
      </c>
      <c r="G32" s="1044" t="s">
        <v>2677</v>
      </c>
      <c r="H32" s="955"/>
      <c r="I32" s="955" t="s">
        <v>239</v>
      </c>
      <c r="J32" s="955" t="s">
        <v>239</v>
      </c>
      <c r="K32" s="955"/>
      <c r="L32" s="1044" t="s">
        <v>2678</v>
      </c>
      <c r="M32" s="2599">
        <v>1000</v>
      </c>
      <c r="N32" s="2600"/>
      <c r="O32" s="2601"/>
      <c r="P32" s="2601"/>
      <c r="Q32" s="2602"/>
      <c r="R32" s="2602"/>
      <c r="S32" s="2603">
        <v>500</v>
      </c>
      <c r="T32" s="2603"/>
      <c r="U32" s="2603"/>
      <c r="V32" s="2601">
        <v>500</v>
      </c>
      <c r="W32" s="2603"/>
      <c r="Y32" s="2601"/>
      <c r="Z32" s="2601"/>
      <c r="AA32" s="973" t="s">
        <v>2679</v>
      </c>
      <c r="AB32" s="973" t="s">
        <v>2634</v>
      </c>
    </row>
    <row r="33" spans="2:64" ht="336" customHeight="1">
      <c r="D33" s="2496"/>
      <c r="E33" s="2604" t="s">
        <v>2680</v>
      </c>
      <c r="F33" s="1045" t="s">
        <v>2681</v>
      </c>
      <c r="G33" s="2590" t="s">
        <v>2682</v>
      </c>
      <c r="H33" s="2605"/>
      <c r="I33" s="2605" t="s">
        <v>239</v>
      </c>
      <c r="J33" s="2605" t="s">
        <v>239</v>
      </c>
      <c r="K33" s="2605"/>
      <c r="L33" s="1045" t="s">
        <v>2683</v>
      </c>
      <c r="M33" s="2606">
        <v>1500</v>
      </c>
      <c r="N33" s="2607"/>
      <c r="O33" s="2608"/>
      <c r="P33" s="2608"/>
      <c r="Q33" s="2609">
        <v>750</v>
      </c>
      <c r="R33" s="2610"/>
      <c r="S33" s="2609">
        <v>750</v>
      </c>
      <c r="T33" s="2608"/>
      <c r="U33" s="2610"/>
      <c r="V33" s="2609"/>
      <c r="W33" s="2608"/>
      <c r="X33" s="2609"/>
      <c r="Y33" s="2608"/>
      <c r="Z33" s="2608"/>
      <c r="AA33" s="2497" t="s">
        <v>2684</v>
      </c>
      <c r="AB33" s="2497" t="s">
        <v>2634</v>
      </c>
    </row>
    <row r="34" spans="2:64" ht="120">
      <c r="D34" s="2496"/>
      <c r="E34" s="2611" t="s">
        <v>2685</v>
      </c>
      <c r="F34" s="2612" t="s">
        <v>2686</v>
      </c>
      <c r="G34" s="2612" t="s">
        <v>2687</v>
      </c>
      <c r="H34" s="2605" t="s">
        <v>239</v>
      </c>
      <c r="I34" s="2605"/>
      <c r="J34" s="2605"/>
      <c r="K34" s="2613" t="s">
        <v>239</v>
      </c>
      <c r="L34" s="2612" t="s">
        <v>2688</v>
      </c>
      <c r="M34" s="2614">
        <v>3000</v>
      </c>
      <c r="N34" s="2607"/>
      <c r="O34" s="2608"/>
      <c r="P34" s="2610">
        <v>1500</v>
      </c>
      <c r="Q34" s="2610"/>
      <c r="R34" s="2608"/>
      <c r="S34" s="2609"/>
      <c r="T34" s="2609"/>
      <c r="U34" s="2610"/>
      <c r="V34" s="2610"/>
      <c r="W34" s="2609"/>
      <c r="X34" s="2608"/>
      <c r="Y34" s="2609">
        <v>1500</v>
      </c>
      <c r="Z34" s="2615"/>
      <c r="AA34" s="2616" t="s">
        <v>2689</v>
      </c>
      <c r="AB34" s="2497" t="s">
        <v>2634</v>
      </c>
    </row>
    <row r="35" spans="2:64" ht="75" customHeight="1">
      <c r="D35" s="2496"/>
      <c r="E35" s="2617"/>
      <c r="F35" s="2618" t="s">
        <v>2690</v>
      </c>
      <c r="G35" s="2619"/>
      <c r="H35" s="979"/>
      <c r="I35" s="979"/>
      <c r="J35" s="979"/>
      <c r="K35" s="2620"/>
      <c r="L35" s="2619"/>
      <c r="M35" s="2621"/>
      <c r="N35" s="983"/>
      <c r="O35" s="2622"/>
      <c r="P35" s="2622"/>
      <c r="Q35" s="2622"/>
      <c r="R35" s="2622"/>
      <c r="S35" s="2622"/>
      <c r="T35" s="2622"/>
      <c r="U35" s="2622"/>
      <c r="V35" s="2622"/>
      <c r="W35" s="2622"/>
      <c r="X35" s="2622"/>
      <c r="Y35" s="2622"/>
      <c r="Z35" s="2623"/>
      <c r="AA35" s="2619"/>
      <c r="AB35" s="983"/>
    </row>
    <row r="36" spans="2:64" ht="72" customHeight="1">
      <c r="D36" s="2496"/>
      <c r="E36" s="2624" t="s">
        <v>2691</v>
      </c>
      <c r="F36" s="2445" t="s">
        <v>2692</v>
      </c>
      <c r="G36" s="2445" t="s">
        <v>2693</v>
      </c>
      <c r="H36" s="979" t="s">
        <v>239</v>
      </c>
      <c r="I36" s="979" t="s">
        <v>239</v>
      </c>
      <c r="J36" s="979" t="s">
        <v>239</v>
      </c>
      <c r="K36" s="979" t="s">
        <v>239</v>
      </c>
      <c r="L36" s="2445" t="s">
        <v>2694</v>
      </c>
      <c r="M36" s="982">
        <v>26400</v>
      </c>
      <c r="N36" s="983"/>
      <c r="O36" s="2622"/>
      <c r="P36" s="2622"/>
      <c r="Q36" s="2625"/>
      <c r="R36" s="2622"/>
      <c r="S36" s="2625"/>
      <c r="T36" s="2622">
        <v>13200</v>
      </c>
      <c r="U36" s="2622"/>
      <c r="V36" s="2622"/>
      <c r="W36" s="2622">
        <v>13200</v>
      </c>
      <c r="X36" s="2625"/>
      <c r="Y36" s="2622"/>
      <c r="Z36" s="2622"/>
      <c r="AA36" s="983" t="s">
        <v>2695</v>
      </c>
      <c r="AB36" s="983" t="s">
        <v>2634</v>
      </c>
    </row>
    <row r="37" spans="2:64" s="2495" customFormat="1" ht="96" customHeight="1">
      <c r="B37" s="71"/>
      <c r="C37" s="71"/>
      <c r="D37" s="2549"/>
      <c r="E37" s="2626" t="s">
        <v>2696</v>
      </c>
      <c r="F37" s="3217" t="s">
        <v>2697</v>
      </c>
      <c r="G37" s="2627"/>
      <c r="H37" s="2628"/>
      <c r="I37" s="2628"/>
      <c r="J37" s="2628"/>
      <c r="K37" s="2628"/>
      <c r="L37" s="2629"/>
      <c r="M37" s="2629"/>
      <c r="N37" s="2630"/>
      <c r="O37" s="2631"/>
      <c r="P37" s="2631"/>
      <c r="Q37" s="2631"/>
      <c r="R37" s="2632"/>
      <c r="S37" s="2631"/>
      <c r="T37" s="2631"/>
      <c r="U37" s="2631"/>
      <c r="V37" s="2631"/>
      <c r="W37" s="2631"/>
      <c r="X37" s="2631"/>
      <c r="Y37" s="2631"/>
      <c r="Z37" s="2631"/>
      <c r="AA37" s="2633"/>
      <c r="AB37" s="973" t="s">
        <v>2634</v>
      </c>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row>
    <row r="38" spans="2:64" ht="72" customHeight="1">
      <c r="D38" s="2496"/>
      <c r="E38" s="3219" t="s">
        <v>2698</v>
      </c>
      <c r="F38" s="3218"/>
      <c r="G38" s="2634" t="s">
        <v>2699</v>
      </c>
      <c r="H38" s="2635"/>
      <c r="I38" s="2635" t="s">
        <v>239</v>
      </c>
      <c r="J38" s="2635"/>
      <c r="K38" s="2635"/>
      <c r="L38" s="2636" t="s">
        <v>2700</v>
      </c>
      <c r="M38" s="2637">
        <v>27480</v>
      </c>
      <c r="N38" s="2638"/>
      <c r="O38" s="2639"/>
      <c r="P38" s="2639"/>
      <c r="Q38" s="2639"/>
      <c r="R38" s="2639"/>
      <c r="S38" s="2639"/>
      <c r="T38" s="2640">
        <v>27480</v>
      </c>
      <c r="U38" s="2639"/>
      <c r="V38" s="2639"/>
      <c r="W38" s="2639"/>
      <c r="X38" s="2639"/>
      <c r="Y38" s="2639"/>
      <c r="Z38" s="2639"/>
      <c r="AA38" s="2641" t="s">
        <v>2701</v>
      </c>
      <c r="AB38" s="973" t="s">
        <v>2634</v>
      </c>
    </row>
    <row r="39" spans="2:64" ht="48">
      <c r="D39" s="2496"/>
      <c r="E39" s="3220"/>
      <c r="F39" s="3218"/>
      <c r="G39" s="2642"/>
      <c r="H39" s="2643"/>
      <c r="I39" s="2643"/>
      <c r="J39" s="2643"/>
      <c r="K39" s="2643"/>
      <c r="L39" s="2636" t="s">
        <v>2702</v>
      </c>
      <c r="M39" s="2637">
        <v>3600</v>
      </c>
      <c r="N39" s="2638"/>
      <c r="O39" s="2639"/>
      <c r="P39" s="2639"/>
      <c r="Q39" s="2639"/>
      <c r="R39" s="2639"/>
      <c r="S39" s="2639"/>
      <c r="T39" s="2640">
        <v>3600</v>
      </c>
      <c r="U39" s="2639"/>
      <c r="V39" s="2639"/>
      <c r="W39" s="2639"/>
      <c r="X39" s="2639"/>
      <c r="Y39" s="2639"/>
      <c r="Z39" s="2639"/>
      <c r="AA39" s="2641" t="s">
        <v>2701</v>
      </c>
      <c r="AB39" s="973" t="s">
        <v>2634</v>
      </c>
    </row>
    <row r="40" spans="2:64" ht="72" customHeight="1">
      <c r="D40" s="2496"/>
      <c r="E40" s="2644" t="s">
        <v>2703</v>
      </c>
      <c r="F40" s="3218"/>
      <c r="G40" s="2636" t="s">
        <v>2704</v>
      </c>
      <c r="H40" s="2643"/>
      <c r="I40" s="2643" t="s">
        <v>2705</v>
      </c>
      <c r="J40" s="2643"/>
      <c r="K40" s="2643"/>
      <c r="L40" s="1011" t="s">
        <v>2706</v>
      </c>
      <c r="M40" s="2637">
        <v>14400</v>
      </c>
      <c r="N40" s="2638"/>
      <c r="O40" s="2639"/>
      <c r="P40" s="2639"/>
      <c r="Q40" s="2639"/>
      <c r="R40" s="2639"/>
      <c r="S40" s="2645">
        <v>7200</v>
      </c>
      <c r="T40" s="2640"/>
      <c r="U40" s="2639"/>
      <c r="V40" s="2639"/>
      <c r="W40" s="2645">
        <v>7200</v>
      </c>
      <c r="X40" s="2639"/>
      <c r="Y40" s="2639"/>
      <c r="Z40" s="2639"/>
      <c r="AA40" s="2641" t="s">
        <v>2695</v>
      </c>
      <c r="AB40" s="973" t="s">
        <v>2634</v>
      </c>
    </row>
    <row r="41" spans="2:64" ht="96">
      <c r="D41" s="2646"/>
      <c r="E41" s="439" t="s">
        <v>2707</v>
      </c>
      <c r="F41" s="3218"/>
      <c r="G41" s="1018" t="s">
        <v>2708</v>
      </c>
      <c r="H41" s="2635"/>
      <c r="I41" s="2635" t="s">
        <v>768</v>
      </c>
      <c r="J41" s="2635"/>
      <c r="K41" s="2635"/>
      <c r="L41" s="2636" t="s">
        <v>2709</v>
      </c>
      <c r="M41" s="2637">
        <v>18000</v>
      </c>
      <c r="N41" s="2638"/>
      <c r="O41" s="2639"/>
      <c r="P41" s="2639"/>
      <c r="Q41" s="2639"/>
      <c r="R41" s="2639">
        <v>18000</v>
      </c>
      <c r="S41" s="2637"/>
      <c r="T41" s="2637"/>
      <c r="U41" s="2639"/>
      <c r="V41" s="2639"/>
      <c r="W41" s="2640"/>
      <c r="X41" s="2639"/>
      <c r="Y41" s="2639"/>
      <c r="Z41" s="2639"/>
      <c r="AA41" s="2641" t="s">
        <v>2689</v>
      </c>
      <c r="AB41" s="973" t="s">
        <v>2647</v>
      </c>
    </row>
    <row r="42" spans="2:64" ht="48">
      <c r="D42" s="2646"/>
      <c r="E42" s="988"/>
      <c r="F42" s="3218"/>
      <c r="G42" s="2647"/>
      <c r="H42" s="2643"/>
      <c r="I42" s="2643"/>
      <c r="J42" s="2643"/>
      <c r="K42" s="2643"/>
      <c r="L42" s="2636" t="s">
        <v>2710</v>
      </c>
      <c r="M42" s="2648">
        <v>3600</v>
      </c>
      <c r="N42" s="2638"/>
      <c r="O42" s="2639"/>
      <c r="P42" s="2639"/>
      <c r="Q42" s="2639"/>
      <c r="R42" s="2645">
        <v>3600</v>
      </c>
      <c r="S42" s="2637"/>
      <c r="U42" s="2639"/>
      <c r="V42" s="2639"/>
      <c r="W42" s="2640"/>
      <c r="X42" s="2639"/>
      <c r="Y42" s="2639"/>
      <c r="Z42" s="2639"/>
      <c r="AA42" s="2641"/>
      <c r="AB42" s="973"/>
    </row>
    <row r="43" spans="2:64" ht="96">
      <c r="D43" s="2496"/>
      <c r="E43" s="2649" t="s">
        <v>2711</v>
      </c>
      <c r="F43" s="2647"/>
      <c r="G43" s="2636" t="s">
        <v>2712</v>
      </c>
      <c r="H43" s="979" t="s">
        <v>239</v>
      </c>
      <c r="I43" s="979" t="s">
        <v>239</v>
      </c>
      <c r="J43" s="2643"/>
      <c r="K43" s="2650"/>
      <c r="L43" s="1011" t="s">
        <v>2713</v>
      </c>
      <c r="M43" s="2648">
        <v>7200</v>
      </c>
      <c r="N43" s="2633"/>
      <c r="O43" s="2631"/>
      <c r="P43" s="2631"/>
      <c r="Q43" s="2651">
        <v>3600</v>
      </c>
      <c r="R43" s="2631"/>
      <c r="S43" s="2651">
        <v>3600</v>
      </c>
      <c r="T43" s="2601"/>
      <c r="U43" s="2631"/>
      <c r="V43" s="2639"/>
      <c r="W43" s="2639"/>
      <c r="X43" s="2631"/>
      <c r="Y43" s="2631"/>
      <c r="Z43" s="2631"/>
      <c r="AA43" s="2641" t="s">
        <v>2689</v>
      </c>
      <c r="AB43" s="973" t="s">
        <v>2634</v>
      </c>
    </row>
    <row r="44" spans="2:64" s="2495" customFormat="1" ht="48">
      <c r="B44" s="71"/>
      <c r="C44" s="71"/>
      <c r="D44" s="2549"/>
      <c r="E44" s="2652" t="s">
        <v>2714</v>
      </c>
      <c r="F44" s="2653"/>
      <c r="G44" s="2641"/>
      <c r="H44" s="2654"/>
      <c r="I44" s="2654"/>
      <c r="J44" s="2654"/>
      <c r="K44" s="2654"/>
      <c r="L44" s="1044" t="s">
        <v>2715</v>
      </c>
      <c r="M44" s="1036">
        <v>7920</v>
      </c>
      <c r="N44" s="2655"/>
      <c r="O44" s="2631"/>
      <c r="P44" s="2631"/>
      <c r="Q44" s="2631"/>
      <c r="R44" s="2631"/>
      <c r="S44" s="2631"/>
      <c r="T44" s="2601">
        <v>3960</v>
      </c>
      <c r="U44" s="2601"/>
      <c r="V44" s="2601"/>
      <c r="W44" s="2601"/>
      <c r="X44" s="2601">
        <v>3960</v>
      </c>
      <c r="Y44" s="2601"/>
      <c r="Z44" s="2639"/>
      <c r="AA44" s="973" t="s">
        <v>2701</v>
      </c>
      <c r="AB44" s="973" t="s">
        <v>2634</v>
      </c>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row>
    <row r="45" spans="2:64" ht="75.650000000000006" customHeight="1">
      <c r="D45" s="2496"/>
      <c r="E45" s="1011" t="s">
        <v>2716</v>
      </c>
      <c r="F45" s="1011" t="s">
        <v>2717</v>
      </c>
      <c r="G45" s="1011" t="s">
        <v>2718</v>
      </c>
      <c r="H45" s="2654" t="s">
        <v>239</v>
      </c>
      <c r="I45" s="1068" t="s">
        <v>2719</v>
      </c>
      <c r="J45" s="1068" t="s">
        <v>2719</v>
      </c>
      <c r="K45" s="1068" t="s">
        <v>2719</v>
      </c>
      <c r="L45" s="2633"/>
      <c r="M45" s="2656"/>
      <c r="N45" s="2657"/>
      <c r="O45" s="2631"/>
      <c r="P45" s="2631"/>
      <c r="Q45" s="2631"/>
      <c r="R45" s="2631"/>
      <c r="S45" s="2631"/>
      <c r="T45" s="2631"/>
      <c r="U45" s="2631"/>
      <c r="V45" s="2631"/>
      <c r="W45" s="2631"/>
      <c r="X45" s="2631"/>
      <c r="Y45" s="2631"/>
      <c r="Z45" s="2631"/>
      <c r="AA45" s="973"/>
      <c r="AB45" s="973"/>
    </row>
    <row r="46" spans="2:64" ht="72">
      <c r="D46" s="2496"/>
      <c r="E46" s="1011" t="s">
        <v>2720</v>
      </c>
      <c r="F46" s="1011" t="s">
        <v>2721</v>
      </c>
      <c r="G46" s="2633"/>
      <c r="H46" s="1068"/>
      <c r="I46" s="1068"/>
      <c r="J46" s="1068"/>
      <c r="K46" s="1068"/>
      <c r="L46" s="2629"/>
      <c r="M46" s="2656"/>
      <c r="N46" s="2657"/>
      <c r="O46" s="2631"/>
      <c r="P46" s="2631"/>
      <c r="Q46" s="2631"/>
      <c r="R46" s="2631"/>
      <c r="S46" s="2631"/>
      <c r="T46" s="2632"/>
      <c r="U46" s="2631"/>
      <c r="V46" s="2631"/>
      <c r="W46" s="2632"/>
      <c r="X46" s="2631"/>
      <c r="Y46" s="2631"/>
      <c r="Z46" s="2631"/>
      <c r="AA46" s="973"/>
      <c r="AB46" s="973"/>
    </row>
    <row r="47" spans="2:64" ht="72">
      <c r="D47" s="2496"/>
      <c r="E47" s="1011" t="s">
        <v>2722</v>
      </c>
      <c r="F47" s="1011" t="s">
        <v>2723</v>
      </c>
      <c r="G47" s="1011" t="s">
        <v>2724</v>
      </c>
      <c r="H47" s="2654" t="s">
        <v>239</v>
      </c>
      <c r="I47" s="1068" t="s">
        <v>2719</v>
      </c>
      <c r="J47" s="1068" t="s">
        <v>2719</v>
      </c>
      <c r="K47" s="1068" t="s">
        <v>2719</v>
      </c>
      <c r="L47" s="2633"/>
      <c r="M47" s="2656"/>
      <c r="N47" s="2633"/>
      <c r="O47" s="2631"/>
      <c r="P47" s="2631"/>
      <c r="Q47" s="2631"/>
      <c r="R47" s="2631"/>
      <c r="S47" s="2631"/>
      <c r="T47" s="2631"/>
      <c r="U47" s="2631"/>
      <c r="V47" s="2631"/>
      <c r="W47" s="2631"/>
      <c r="X47" s="2631"/>
      <c r="Y47" s="2631"/>
      <c r="Z47" s="2631"/>
      <c r="AA47" s="2633"/>
      <c r="AB47" s="973"/>
    </row>
    <row r="48" spans="2:64" ht="48">
      <c r="D48" s="2496"/>
      <c r="E48" s="1011" t="s">
        <v>2725</v>
      </c>
      <c r="F48" s="2641"/>
      <c r="G48" s="1044" t="s">
        <v>2726</v>
      </c>
      <c r="H48" s="2654" t="s">
        <v>239</v>
      </c>
      <c r="I48" s="1068" t="s">
        <v>2719</v>
      </c>
      <c r="J48" s="1068" t="s">
        <v>2719</v>
      </c>
      <c r="K48" s="1068" t="s">
        <v>2719</v>
      </c>
      <c r="L48" s="2633"/>
      <c r="M48" s="2633"/>
      <c r="N48" s="2633"/>
      <c r="O48" s="2631"/>
      <c r="P48" s="2631"/>
      <c r="Q48" s="2631"/>
      <c r="R48" s="2631"/>
      <c r="S48" s="2631"/>
      <c r="T48" s="2631"/>
      <c r="U48" s="2631"/>
      <c r="V48" s="2631"/>
      <c r="W48" s="2631"/>
      <c r="X48" s="2631"/>
      <c r="Y48" s="2631"/>
      <c r="Z48" s="2631"/>
      <c r="AA48" s="2633"/>
      <c r="AB48" s="2633"/>
    </row>
    <row r="49" spans="2:64" ht="72">
      <c r="D49" s="2496"/>
      <c r="E49" s="1011" t="s">
        <v>2727</v>
      </c>
      <c r="F49" s="2641"/>
      <c r="G49" s="1011" t="s">
        <v>2728</v>
      </c>
      <c r="H49" s="2654" t="s">
        <v>239</v>
      </c>
      <c r="I49" s="1068" t="s">
        <v>2719</v>
      </c>
      <c r="J49" s="1068" t="s">
        <v>2719</v>
      </c>
      <c r="K49" s="1068" t="s">
        <v>2719</v>
      </c>
      <c r="L49" s="2633"/>
      <c r="M49" s="2633"/>
      <c r="N49" s="2633"/>
      <c r="O49" s="2631"/>
      <c r="P49" s="2631"/>
      <c r="Q49" s="2631"/>
      <c r="R49" s="2631"/>
      <c r="S49" s="2631"/>
      <c r="T49" s="2631"/>
      <c r="U49" s="2631"/>
      <c r="V49" s="2631"/>
      <c r="W49" s="2631"/>
      <c r="X49" s="2631"/>
      <c r="Y49" s="2631"/>
      <c r="Z49" s="2631"/>
      <c r="AA49" s="2633"/>
      <c r="AB49" s="2633"/>
    </row>
    <row r="50" spans="2:64" ht="48">
      <c r="D50" s="2496"/>
      <c r="E50" s="1011" t="s">
        <v>2729</v>
      </c>
      <c r="F50" s="2641"/>
      <c r="G50" s="1011" t="s">
        <v>2730</v>
      </c>
      <c r="H50" s="2654"/>
      <c r="I50" s="2654"/>
      <c r="J50" s="2654" t="s">
        <v>2705</v>
      </c>
      <c r="K50" s="2654"/>
      <c r="L50" s="2633"/>
      <c r="M50" s="2633"/>
      <c r="N50" s="2633"/>
      <c r="O50" s="2631"/>
      <c r="P50" s="2631"/>
      <c r="Q50" s="2631"/>
      <c r="R50" s="2631"/>
      <c r="S50" s="2631"/>
      <c r="T50" s="2631"/>
      <c r="U50" s="2631"/>
      <c r="V50" s="2631"/>
      <c r="W50" s="2631"/>
      <c r="X50" s="2631"/>
      <c r="Y50" s="2631"/>
      <c r="Z50" s="2631"/>
      <c r="AA50" s="2633"/>
      <c r="AB50" s="2633"/>
    </row>
    <row r="51" spans="2:64" ht="72">
      <c r="D51" s="2496"/>
      <c r="E51" s="1011" t="s">
        <v>2731</v>
      </c>
      <c r="F51" s="2641"/>
      <c r="G51" s="1011" t="s">
        <v>2732</v>
      </c>
      <c r="H51" s="2654"/>
      <c r="I51" s="2654" t="s">
        <v>768</v>
      </c>
      <c r="J51" s="2654" t="s">
        <v>768</v>
      </c>
      <c r="K51" s="1068"/>
      <c r="L51" s="2633"/>
      <c r="M51" s="2633"/>
      <c r="N51" s="2633"/>
      <c r="O51" s="2631"/>
      <c r="P51" s="2631"/>
      <c r="Q51" s="2631"/>
      <c r="R51" s="2631"/>
      <c r="S51" s="2631"/>
      <c r="T51" s="2631"/>
      <c r="U51" s="2631"/>
      <c r="V51" s="2631"/>
      <c r="W51" s="2631"/>
      <c r="X51" s="2631"/>
      <c r="Y51" s="2631"/>
      <c r="Z51" s="2631"/>
      <c r="AA51" s="2633"/>
      <c r="AB51" s="2633"/>
    </row>
    <row r="52" spans="2:64" ht="48">
      <c r="D52" s="2496"/>
      <c r="E52" s="1011" t="s">
        <v>2733</v>
      </c>
      <c r="F52" s="2641"/>
      <c r="G52" s="1011" t="s">
        <v>2734</v>
      </c>
      <c r="H52" s="2654" t="s">
        <v>239</v>
      </c>
      <c r="I52" s="1068" t="s">
        <v>2719</v>
      </c>
      <c r="J52" s="1068" t="s">
        <v>2719</v>
      </c>
      <c r="K52" s="1068" t="s">
        <v>2719</v>
      </c>
      <c r="L52" s="2633"/>
      <c r="M52" s="2633"/>
      <c r="N52" s="2633"/>
      <c r="O52" s="2631"/>
      <c r="P52" s="2631"/>
      <c r="Q52" s="2631"/>
      <c r="R52" s="2631"/>
      <c r="S52" s="2631"/>
      <c r="T52" s="2631"/>
      <c r="U52" s="2631"/>
      <c r="V52" s="2631"/>
      <c r="W52" s="2631"/>
      <c r="X52" s="2631"/>
      <c r="Y52" s="2631"/>
      <c r="Z52" s="2631"/>
      <c r="AA52" s="2633"/>
      <c r="AB52" s="2633"/>
    </row>
    <row r="53" spans="2:64" ht="48">
      <c r="D53" s="2496"/>
      <c r="E53" s="1011" t="s">
        <v>2735</v>
      </c>
      <c r="F53" s="2641"/>
      <c r="G53" s="1011" t="s">
        <v>2736</v>
      </c>
      <c r="H53" s="2654" t="s">
        <v>239</v>
      </c>
      <c r="I53" s="1068" t="s">
        <v>2719</v>
      </c>
      <c r="J53" s="1068" t="s">
        <v>2719</v>
      </c>
      <c r="K53" s="1068" t="s">
        <v>2719</v>
      </c>
      <c r="L53" s="2633"/>
      <c r="M53" s="2633"/>
      <c r="N53" s="2633"/>
      <c r="O53" s="2631"/>
      <c r="P53" s="2631"/>
      <c r="Q53" s="2631"/>
      <c r="R53" s="2631"/>
      <c r="S53" s="2631"/>
      <c r="T53" s="2631"/>
      <c r="U53" s="2631"/>
      <c r="V53" s="2631"/>
      <c r="W53" s="2631"/>
      <c r="X53" s="2631"/>
      <c r="Y53" s="2631"/>
      <c r="Z53" s="2631"/>
      <c r="AA53" s="2633"/>
      <c r="AB53" s="2633"/>
    </row>
    <row r="54" spans="2:64" ht="48">
      <c r="D54" s="2496"/>
      <c r="E54" s="1011" t="s">
        <v>2737</v>
      </c>
      <c r="F54" s="2641"/>
      <c r="G54" s="1011" t="s">
        <v>2738</v>
      </c>
      <c r="H54" s="2654"/>
      <c r="I54" s="2654"/>
      <c r="J54" s="2654" t="s">
        <v>2705</v>
      </c>
      <c r="K54" s="1068"/>
      <c r="L54" s="2633"/>
      <c r="M54" s="2633"/>
      <c r="N54" s="2633"/>
      <c r="O54" s="2631"/>
      <c r="P54" s="2631"/>
      <c r="Q54" s="2631"/>
      <c r="R54" s="2631"/>
      <c r="S54" s="2631"/>
      <c r="T54" s="2631"/>
      <c r="U54" s="2631"/>
      <c r="V54" s="2631"/>
      <c r="W54" s="2631"/>
      <c r="X54" s="2631"/>
      <c r="Y54" s="2631"/>
      <c r="Z54" s="2631"/>
      <c r="AA54" s="2633"/>
      <c r="AB54" s="2633"/>
    </row>
    <row r="55" spans="2:64">
      <c r="D55" s="2658"/>
      <c r="E55" s="1011" t="s">
        <v>2739</v>
      </c>
      <c r="F55" s="2641"/>
      <c r="G55" s="1011" t="s">
        <v>2740</v>
      </c>
      <c r="H55" s="2654"/>
      <c r="I55" s="2654" t="s">
        <v>2705</v>
      </c>
      <c r="J55" s="2654" t="s">
        <v>978</v>
      </c>
      <c r="K55" s="1068"/>
      <c r="L55" s="2633"/>
      <c r="M55" s="2633"/>
      <c r="N55" s="2633"/>
      <c r="O55" s="2631"/>
      <c r="P55" s="2631"/>
      <c r="Q55" s="2631"/>
      <c r="R55" s="2631"/>
      <c r="S55" s="2631"/>
      <c r="T55" s="2631"/>
      <c r="U55" s="2631"/>
      <c r="V55" s="2631"/>
      <c r="W55" s="2631"/>
      <c r="X55" s="2631"/>
      <c r="Y55" s="2631"/>
      <c r="Z55" s="2631"/>
      <c r="AA55" s="2633"/>
      <c r="AB55" s="2633"/>
    </row>
    <row r="56" spans="2:64" s="2495" customFormat="1">
      <c r="B56" s="71"/>
      <c r="C56" s="71"/>
      <c r="D56" s="2549"/>
      <c r="E56" s="2652" t="s">
        <v>2741</v>
      </c>
      <c r="F56" s="2629"/>
      <c r="G56" s="2629"/>
      <c r="H56" s="1068"/>
      <c r="I56" s="1068"/>
      <c r="J56" s="1068"/>
      <c r="K56" s="1068"/>
      <c r="L56" s="2633"/>
      <c r="M56" s="2656"/>
      <c r="N56" s="2630"/>
      <c r="O56" s="2631"/>
      <c r="P56" s="2631"/>
      <c r="Q56" s="2631"/>
      <c r="R56" s="2631"/>
      <c r="S56" s="2631"/>
      <c r="T56" s="2631"/>
      <c r="U56" s="2631"/>
      <c r="V56" s="2631"/>
      <c r="W56" s="2631"/>
      <c r="X56" s="2631"/>
      <c r="Y56" s="2631"/>
      <c r="Z56" s="2631"/>
      <c r="AA56" s="2633"/>
      <c r="AB56" s="2633"/>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row>
    <row r="57" spans="2:64" ht="48">
      <c r="D57" s="2496"/>
      <c r="E57" s="2641" t="s">
        <v>2742</v>
      </c>
      <c r="F57" s="2641" t="s">
        <v>2743</v>
      </c>
      <c r="G57" s="1011" t="s">
        <v>2744</v>
      </c>
      <c r="H57" s="2654" t="s">
        <v>2705</v>
      </c>
      <c r="I57" s="2654" t="s">
        <v>2705</v>
      </c>
      <c r="J57" s="2654" t="s">
        <v>2705</v>
      </c>
      <c r="K57" s="2654" t="s">
        <v>2705</v>
      </c>
      <c r="L57" s="1011" t="s">
        <v>2745</v>
      </c>
      <c r="M57" s="2641"/>
      <c r="N57" s="2633"/>
      <c r="O57" s="2631"/>
      <c r="P57" s="2631"/>
      <c r="Q57" s="2631"/>
      <c r="R57" s="2631"/>
      <c r="S57" s="2631"/>
      <c r="T57" s="2631"/>
      <c r="U57" s="2631"/>
      <c r="V57" s="2631"/>
      <c r="W57" s="2631"/>
      <c r="X57" s="2631"/>
      <c r="Y57" s="2631"/>
      <c r="Z57" s="2631"/>
      <c r="AA57" s="973" t="s">
        <v>2701</v>
      </c>
      <c r="AB57" s="2633"/>
    </row>
    <row r="58" spans="2:64" ht="72">
      <c r="D58" s="2658"/>
      <c r="E58" s="1044" t="s">
        <v>2746</v>
      </c>
      <c r="F58" s="1044" t="s">
        <v>2747</v>
      </c>
      <c r="G58" s="1044" t="s">
        <v>2748</v>
      </c>
      <c r="H58" s="2659" t="s">
        <v>2705</v>
      </c>
      <c r="I58" s="2659" t="s">
        <v>2705</v>
      </c>
      <c r="J58" s="2659" t="s">
        <v>2705</v>
      </c>
      <c r="K58" s="2659" t="s">
        <v>2705</v>
      </c>
      <c r="L58" s="1044" t="s">
        <v>2749</v>
      </c>
      <c r="M58" s="2660">
        <v>12060</v>
      </c>
      <c r="N58" s="2498"/>
      <c r="O58" s="2661"/>
      <c r="P58" s="2499"/>
      <c r="Q58" s="2499"/>
      <c r="R58" s="2499"/>
      <c r="S58" s="2499"/>
      <c r="T58" s="2499">
        <v>6000</v>
      </c>
      <c r="U58" s="2662"/>
      <c r="V58" s="2631"/>
      <c r="W58" s="2499"/>
      <c r="X58" s="2632"/>
      <c r="Y58" s="2499">
        <v>6060</v>
      </c>
      <c r="Z58" s="2663"/>
      <c r="AA58" s="973" t="s">
        <v>2695</v>
      </c>
      <c r="AB58" s="955" t="s">
        <v>2750</v>
      </c>
    </row>
    <row r="59" spans="2:64" ht="48">
      <c r="D59" s="2496"/>
      <c r="E59" s="1045" t="s">
        <v>2751</v>
      </c>
      <c r="F59" s="1045" t="s">
        <v>2752</v>
      </c>
      <c r="G59" s="1045" t="s">
        <v>2753</v>
      </c>
      <c r="H59" s="2659" t="s">
        <v>2705</v>
      </c>
      <c r="I59" s="2659" t="s">
        <v>2705</v>
      </c>
      <c r="J59" s="2659" t="s">
        <v>2705</v>
      </c>
      <c r="K59" s="2659" t="s">
        <v>2705</v>
      </c>
      <c r="L59" s="1044" t="s">
        <v>2749</v>
      </c>
      <c r="M59" s="2660">
        <v>39300</v>
      </c>
      <c r="N59" s="2498"/>
      <c r="O59" s="2661"/>
      <c r="P59" s="2499"/>
      <c r="Q59" s="2499"/>
      <c r="R59" s="2499"/>
      <c r="S59" s="2499"/>
      <c r="T59" s="2499"/>
      <c r="U59" s="2662"/>
      <c r="V59" s="2631"/>
      <c r="W59" s="2499">
        <v>39300</v>
      </c>
      <c r="X59" s="2632"/>
      <c r="Y59" s="2499"/>
      <c r="Z59" s="2663"/>
      <c r="AA59" s="973"/>
      <c r="AB59" s="973" t="s">
        <v>2647</v>
      </c>
    </row>
    <row r="60" spans="2:64" s="2495" customFormat="1">
      <c r="B60" s="71"/>
      <c r="C60" s="71"/>
      <c r="D60" s="2549"/>
      <c r="E60" s="2664" t="s">
        <v>2754</v>
      </c>
      <c r="F60" s="2665"/>
      <c r="G60" s="2666"/>
      <c r="H60" s="2628"/>
      <c r="I60" s="2628"/>
      <c r="J60" s="2628"/>
      <c r="K60" s="2628"/>
      <c r="L60" s="2633"/>
      <c r="M60" s="2656"/>
      <c r="N60" s="2630"/>
      <c r="O60" s="2631"/>
      <c r="P60" s="2631"/>
      <c r="Q60" s="2631"/>
      <c r="R60" s="2631"/>
      <c r="S60" s="2631"/>
      <c r="T60" s="2631"/>
      <c r="U60" s="2631"/>
      <c r="V60" s="2631"/>
      <c r="W60" s="2631"/>
      <c r="X60" s="2632"/>
      <c r="Y60" s="2631"/>
      <c r="Z60" s="2631"/>
      <c r="AA60" s="2633"/>
      <c r="AB60" s="955"/>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row>
    <row r="61" spans="2:64" ht="120">
      <c r="D61" s="2646"/>
      <c r="E61" s="2667" t="s">
        <v>2755</v>
      </c>
      <c r="F61" s="1018" t="s">
        <v>2756</v>
      </c>
      <c r="G61" s="1018" t="s">
        <v>2757</v>
      </c>
      <c r="H61" s="440"/>
      <c r="I61" s="440" t="s">
        <v>2705</v>
      </c>
      <c r="J61" s="440"/>
      <c r="K61" s="440"/>
      <c r="L61" s="2636" t="s">
        <v>2758</v>
      </c>
      <c r="M61" s="2637">
        <v>7200</v>
      </c>
      <c r="N61" s="2641"/>
      <c r="O61" s="2639"/>
      <c r="P61" s="2639"/>
      <c r="Q61" s="2639"/>
      <c r="R61" s="2639"/>
      <c r="S61" s="2645">
        <v>7200</v>
      </c>
      <c r="T61" s="2637"/>
      <c r="U61" s="2639"/>
      <c r="V61" s="2639"/>
      <c r="W61" s="2639"/>
      <c r="X61" s="2640"/>
      <c r="Y61" s="2639"/>
      <c r="Z61" s="2639"/>
      <c r="AA61" s="2641" t="s">
        <v>2689</v>
      </c>
      <c r="AB61" s="973" t="s">
        <v>2634</v>
      </c>
    </row>
    <row r="62" spans="2:64" ht="72">
      <c r="D62" s="2646"/>
      <c r="E62" s="2649"/>
      <c r="F62" s="2647"/>
      <c r="G62" s="2647"/>
      <c r="H62" s="2668"/>
      <c r="I62" s="2668"/>
      <c r="J62" s="2668"/>
      <c r="K62" s="2668"/>
      <c r="L62" s="2636" t="s">
        <v>2759</v>
      </c>
      <c r="M62" s="2637">
        <v>8600</v>
      </c>
      <c r="N62" s="2641"/>
      <c r="O62" s="2639"/>
      <c r="P62" s="2639"/>
      <c r="Q62" s="2639"/>
      <c r="R62" s="2639"/>
      <c r="S62" s="2645">
        <v>8600</v>
      </c>
      <c r="U62" s="2639"/>
      <c r="V62" s="2639"/>
      <c r="W62" s="2639"/>
      <c r="X62" s="2640"/>
      <c r="Y62" s="2639"/>
      <c r="Z62" s="2639"/>
      <c r="AA62" s="2641"/>
      <c r="AB62" s="973"/>
    </row>
    <row r="63" spans="2:64" ht="96">
      <c r="D63" s="2496"/>
      <c r="E63" s="1011" t="s">
        <v>2760</v>
      </c>
      <c r="F63" s="1011" t="s">
        <v>2761</v>
      </c>
      <c r="G63" s="1011" t="s">
        <v>2762</v>
      </c>
      <c r="H63" s="1012" t="s">
        <v>2705</v>
      </c>
      <c r="I63" s="2654" t="s">
        <v>2705</v>
      </c>
      <c r="J63" s="1012" t="s">
        <v>2705</v>
      </c>
      <c r="K63" s="1012"/>
      <c r="L63" s="1011" t="s">
        <v>2763</v>
      </c>
      <c r="M63" s="2637">
        <v>9000</v>
      </c>
      <c r="N63" s="2641"/>
      <c r="O63" s="2639"/>
      <c r="P63" s="2639"/>
      <c r="Q63" s="2640">
        <v>3000</v>
      </c>
      <c r="R63" s="2639"/>
      <c r="S63" s="2640"/>
      <c r="T63" s="2639"/>
      <c r="U63" s="2669">
        <v>3000</v>
      </c>
      <c r="V63" s="2639"/>
      <c r="W63" s="2640">
        <v>3000</v>
      </c>
      <c r="X63" s="2640"/>
      <c r="Y63" s="2639"/>
      <c r="Z63" s="2639"/>
      <c r="AA63" s="2641" t="s">
        <v>2679</v>
      </c>
      <c r="AB63" s="973" t="s">
        <v>2634</v>
      </c>
    </row>
    <row r="64" spans="2:64" ht="74.599999999999994" customHeight="1">
      <c r="D64" s="2658"/>
      <c r="E64" s="1011" t="s">
        <v>2764</v>
      </c>
      <c r="F64" s="1011" t="s">
        <v>2765</v>
      </c>
      <c r="G64" s="1011" t="s">
        <v>2766</v>
      </c>
      <c r="H64" s="1012" t="s">
        <v>768</v>
      </c>
      <c r="I64" s="1012" t="s">
        <v>768</v>
      </c>
      <c r="J64" s="1012"/>
      <c r="K64" s="1012"/>
      <c r="L64" s="1011" t="s">
        <v>2767</v>
      </c>
      <c r="M64" s="2637">
        <v>6000</v>
      </c>
      <c r="N64" s="2641"/>
      <c r="O64" s="2639"/>
      <c r="P64" s="2639"/>
      <c r="Q64" s="2640">
        <v>6000</v>
      </c>
      <c r="R64" s="2639"/>
      <c r="S64" s="2640"/>
      <c r="T64" s="2640"/>
      <c r="U64" s="2639"/>
      <c r="V64" s="2639"/>
      <c r="W64" s="2640"/>
      <c r="X64" s="2640"/>
      <c r="Y64" s="2639"/>
      <c r="Z64" s="2639"/>
      <c r="AA64" s="2641" t="s">
        <v>2701</v>
      </c>
      <c r="AB64" s="973" t="s">
        <v>2634</v>
      </c>
    </row>
    <row r="65" spans="1:64" ht="124.5" customHeight="1">
      <c r="D65" s="2496"/>
      <c r="E65" s="1011" t="s">
        <v>2768</v>
      </c>
      <c r="F65" s="1011" t="s">
        <v>2769</v>
      </c>
      <c r="G65" s="1011" t="s">
        <v>2770</v>
      </c>
      <c r="H65" s="1012"/>
      <c r="I65" s="1012" t="s">
        <v>239</v>
      </c>
      <c r="J65" s="1012"/>
      <c r="K65" s="1012"/>
      <c r="L65" s="1011" t="s">
        <v>2771</v>
      </c>
      <c r="M65" s="2637">
        <v>18000</v>
      </c>
      <c r="N65" s="2641"/>
      <c r="O65" s="2639"/>
      <c r="P65" s="2639"/>
      <c r="Q65" s="2640"/>
      <c r="R65" s="2640">
        <v>18000</v>
      </c>
      <c r="S65" s="2640"/>
      <c r="T65" s="2640"/>
      <c r="U65" s="2639"/>
      <c r="V65" s="2639"/>
      <c r="W65" s="2640"/>
      <c r="X65" s="2640"/>
      <c r="Y65" s="2639"/>
      <c r="Z65" s="2639"/>
      <c r="AA65" s="2641"/>
      <c r="AB65" s="973"/>
    </row>
    <row r="66" spans="1:64" s="2495" customFormat="1">
      <c r="B66" s="71"/>
      <c r="C66" s="71"/>
      <c r="D66" s="2496"/>
      <c r="E66" s="2652" t="s">
        <v>2772</v>
      </c>
      <c r="F66" s="2629"/>
      <c r="G66" s="2629"/>
      <c r="H66" s="2670"/>
      <c r="I66" s="2670"/>
      <c r="J66" s="2670"/>
      <c r="K66" s="2670"/>
      <c r="L66" s="2629"/>
      <c r="M66" s="2671"/>
      <c r="N66" s="2630"/>
      <c r="O66" s="2631"/>
      <c r="P66" s="2631"/>
      <c r="Q66" s="2631"/>
      <c r="R66" s="2631"/>
      <c r="S66" s="2631"/>
      <c r="T66" s="2631"/>
      <c r="U66" s="2631"/>
      <c r="V66" s="2631"/>
      <c r="W66" s="2631"/>
      <c r="X66" s="2632"/>
      <c r="Y66" s="2631"/>
      <c r="Z66" s="2631"/>
      <c r="AA66" s="2633"/>
      <c r="AB66" s="973" t="s">
        <v>2634</v>
      </c>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row>
    <row r="67" spans="1:64" ht="126.65" customHeight="1">
      <c r="D67" s="2496"/>
      <c r="E67" s="1018" t="s">
        <v>2773</v>
      </c>
      <c r="F67" s="1018" t="s">
        <v>2774</v>
      </c>
      <c r="G67" s="2500" t="s">
        <v>2775</v>
      </c>
      <c r="H67" s="2654"/>
      <c r="I67" s="2654" t="s">
        <v>2705</v>
      </c>
      <c r="J67" s="2654" t="s">
        <v>2705</v>
      </c>
      <c r="K67" s="2654"/>
      <c r="L67" s="1011" t="s">
        <v>2776</v>
      </c>
      <c r="M67" s="2648">
        <v>7200</v>
      </c>
      <c r="N67" s="2641"/>
      <c r="O67" s="2639">
        <v>3600</v>
      </c>
      <c r="P67" s="2639"/>
      <c r="Q67" s="2639"/>
      <c r="R67" s="2639"/>
      <c r="S67" s="2639">
        <v>3600</v>
      </c>
      <c r="T67" s="2639"/>
      <c r="U67" s="2640"/>
      <c r="V67" s="2639"/>
      <c r="W67" s="2639"/>
      <c r="X67" s="2639"/>
      <c r="Y67" s="2639"/>
      <c r="Z67" s="2639"/>
      <c r="AA67" s="2641" t="s">
        <v>2684</v>
      </c>
      <c r="AB67" s="973" t="s">
        <v>2634</v>
      </c>
    </row>
    <row r="68" spans="1:64" ht="144">
      <c r="D68" s="2496"/>
      <c r="E68" s="2667" t="s">
        <v>2777</v>
      </c>
      <c r="F68" s="2667" t="s">
        <v>2778</v>
      </c>
      <c r="G68" s="2500" t="s">
        <v>2779</v>
      </c>
      <c r="H68" s="2672"/>
      <c r="I68" s="2654"/>
      <c r="J68" s="2654" t="s">
        <v>239</v>
      </c>
      <c r="K68" s="2654"/>
      <c r="L68" s="1011" t="s">
        <v>2780</v>
      </c>
      <c r="M68" s="2501">
        <v>9600</v>
      </c>
      <c r="N68" s="72"/>
      <c r="O68" s="1038"/>
      <c r="P68" s="2639"/>
      <c r="Q68" s="2639"/>
      <c r="R68" s="2639">
        <v>9600</v>
      </c>
      <c r="S68" s="2639"/>
      <c r="T68" s="2639"/>
      <c r="U68" s="2669"/>
      <c r="V68" s="2640"/>
      <c r="W68" s="2639"/>
      <c r="X68" s="2639"/>
      <c r="Y68" s="2639"/>
      <c r="Z68" s="2673"/>
      <c r="AA68" s="2641" t="s">
        <v>2689</v>
      </c>
      <c r="AB68" s="973" t="s">
        <v>2634</v>
      </c>
      <c r="AC68" s="961"/>
    </row>
    <row r="69" spans="1:64" ht="32.25" customHeight="1">
      <c r="D69" s="2658"/>
      <c r="E69" s="2649"/>
      <c r="F69" s="2649"/>
      <c r="G69" s="2502"/>
      <c r="H69" s="2672"/>
      <c r="I69" s="2654"/>
      <c r="J69" s="2654" t="s">
        <v>239</v>
      </c>
      <c r="K69" s="2654"/>
      <c r="L69" s="2503" t="s">
        <v>2781</v>
      </c>
      <c r="M69" s="2501">
        <v>1000</v>
      </c>
      <c r="N69" s="72"/>
      <c r="O69" s="1038"/>
      <c r="P69" s="2639"/>
      <c r="Q69" s="2639"/>
      <c r="R69" s="2639"/>
      <c r="S69" s="2639">
        <v>1000</v>
      </c>
      <c r="T69" s="2639"/>
      <c r="U69" s="2669"/>
      <c r="V69" s="2640"/>
      <c r="W69" s="2669"/>
      <c r="X69" s="2639"/>
      <c r="Y69" s="2639"/>
      <c r="Z69" s="2673"/>
      <c r="AA69" s="2641" t="s">
        <v>2701</v>
      </c>
      <c r="AB69" s="973" t="s">
        <v>2634</v>
      </c>
      <c r="AC69" s="961"/>
    </row>
    <row r="70" spans="1:64" s="2504" customFormat="1">
      <c r="D70" s="2505">
        <v>5</v>
      </c>
      <c r="E70" s="3174" t="s">
        <v>2782</v>
      </c>
      <c r="F70" s="3175"/>
      <c r="G70" s="3175"/>
      <c r="H70" s="3175"/>
      <c r="I70" s="3175"/>
      <c r="J70" s="3175"/>
      <c r="K70" s="3175"/>
      <c r="L70" s="3175"/>
      <c r="M70" s="3176"/>
      <c r="O70" s="2507"/>
      <c r="P70" s="2507"/>
      <c r="Q70" s="2507"/>
      <c r="R70" s="2507"/>
      <c r="S70" s="2507"/>
      <c r="T70" s="2507"/>
      <c r="U70" s="2507"/>
      <c r="V70" s="2507"/>
      <c r="W70" s="2507"/>
      <c r="X70" s="2507"/>
      <c r="Y70" s="2507"/>
      <c r="Z70" s="2507"/>
      <c r="AA70" s="1104"/>
      <c r="AB70" s="2508"/>
      <c r="AC70" s="944"/>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row>
    <row r="71" spans="1:64" s="2495" customFormat="1" ht="33.75" customHeight="1">
      <c r="A71" s="2504"/>
      <c r="B71" s="2504"/>
      <c r="C71" s="2504"/>
      <c r="D71" s="2578"/>
      <c r="E71" s="3226" t="s">
        <v>2783</v>
      </c>
      <c r="F71" s="3227"/>
      <c r="G71" s="3227"/>
      <c r="H71" s="3227"/>
      <c r="I71" s="3227"/>
      <c r="J71" s="3227"/>
      <c r="K71" s="3227"/>
      <c r="L71" s="3228"/>
      <c r="M71" s="2506">
        <v>581200</v>
      </c>
      <c r="N71" s="2580">
        <f>M71-N72</f>
        <v>531700</v>
      </c>
      <c r="O71" s="2581">
        <f>SUM(O74:O108)</f>
        <v>0</v>
      </c>
      <c r="P71" s="2581">
        <f t="shared" ref="P71:Z71" si="5">SUM(P74:P108)</f>
        <v>7200</v>
      </c>
      <c r="Q71" s="2581">
        <f t="shared" si="5"/>
        <v>64000</v>
      </c>
      <c r="R71" s="2581">
        <f t="shared" si="5"/>
        <v>88650</v>
      </c>
      <c r="S71" s="2581">
        <f t="shared" si="5"/>
        <v>95000</v>
      </c>
      <c r="T71" s="2581">
        <f t="shared" si="5"/>
        <v>68050</v>
      </c>
      <c r="U71" s="2581">
        <f t="shared" si="5"/>
        <v>12000</v>
      </c>
      <c r="V71" s="2581">
        <f t="shared" si="5"/>
        <v>22050</v>
      </c>
      <c r="W71" s="2581">
        <f t="shared" si="5"/>
        <v>68500</v>
      </c>
      <c r="X71" s="2581">
        <f t="shared" si="5"/>
        <v>29250</v>
      </c>
      <c r="Y71" s="2581">
        <f t="shared" si="5"/>
        <v>118250</v>
      </c>
      <c r="Z71" s="2581">
        <f t="shared" si="5"/>
        <v>8250</v>
      </c>
      <c r="AA71" s="2582" t="s">
        <v>2626</v>
      </c>
      <c r="AB71" s="2583" t="s">
        <v>2750</v>
      </c>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row>
    <row r="72" spans="1:64" s="2495" customFormat="1" ht="33.75" customHeight="1">
      <c r="A72" s="2504"/>
      <c r="B72" s="2504"/>
      <c r="C72" s="2504"/>
      <c r="D72" s="2578"/>
      <c r="E72" s="2727"/>
      <c r="F72" s="2728"/>
      <c r="G72" s="2728"/>
      <c r="H72" s="2728"/>
      <c r="I72" s="2728"/>
      <c r="J72" s="2728"/>
      <c r="K72" s="2728"/>
      <c r="L72" s="2729"/>
      <c r="M72" s="2579"/>
      <c r="N72" s="2580">
        <v>49500</v>
      </c>
      <c r="O72" s="2581"/>
      <c r="P72" s="2581"/>
      <c r="Q72" s="2581"/>
      <c r="R72" s="2581"/>
      <c r="S72" s="2581"/>
      <c r="T72" s="2581"/>
      <c r="U72" s="2581"/>
      <c r="V72" s="2581"/>
      <c r="W72" s="2581"/>
      <c r="X72" s="2581"/>
      <c r="Y72" s="2581"/>
      <c r="Z72" s="2581"/>
      <c r="AA72" s="2582" t="s">
        <v>2626</v>
      </c>
      <c r="AB72" s="2583" t="s">
        <v>280</v>
      </c>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row>
    <row r="73" spans="1:64" ht="48">
      <c r="D73" s="2509"/>
      <c r="E73" s="2510" t="s">
        <v>2784</v>
      </c>
      <c r="F73" s="2510"/>
      <c r="G73" s="2511"/>
      <c r="H73" s="2511"/>
      <c r="I73" s="2511"/>
      <c r="J73" s="2511"/>
      <c r="K73" s="2511"/>
      <c r="L73" s="2511"/>
      <c r="M73" s="2511"/>
      <c r="N73" s="2512"/>
      <c r="O73" s="2512"/>
      <c r="P73" s="2512"/>
      <c r="Q73" s="2512"/>
      <c r="R73" s="2512"/>
      <c r="S73" s="2512"/>
      <c r="T73" s="2512"/>
      <c r="U73" s="2512"/>
      <c r="V73" s="2512"/>
      <c r="W73" s="2512"/>
      <c r="X73" s="2512"/>
      <c r="Y73" s="2512"/>
      <c r="Z73" s="2512"/>
      <c r="AA73" s="2512"/>
      <c r="AB73" s="2511"/>
      <c r="AC73" s="2513"/>
    </row>
    <row r="74" spans="1:64" s="2514" customFormat="1" ht="48">
      <c r="A74" s="2425"/>
      <c r="B74" s="71"/>
      <c r="C74" s="71"/>
      <c r="D74" s="3229"/>
      <c r="E74" s="3231" t="s">
        <v>2785</v>
      </c>
      <c r="F74" s="3222" t="s">
        <v>2786</v>
      </c>
      <c r="G74" s="3233" t="s">
        <v>2787</v>
      </c>
      <c r="H74" s="973" t="s">
        <v>2705</v>
      </c>
      <c r="I74" s="973" t="s">
        <v>2705</v>
      </c>
      <c r="J74" s="973" t="s">
        <v>2705</v>
      </c>
      <c r="K74" s="973" t="s">
        <v>2705</v>
      </c>
      <c r="L74" s="2444" t="s">
        <v>2788</v>
      </c>
      <c r="M74" s="2515">
        <v>1500</v>
      </c>
      <c r="N74" s="2515"/>
      <c r="O74" s="2515"/>
      <c r="P74" s="2659"/>
      <c r="Q74" s="2674"/>
      <c r="R74" s="2674">
        <v>250</v>
      </c>
      <c r="S74" s="2674"/>
      <c r="T74" s="2674">
        <v>250</v>
      </c>
      <c r="U74" s="2674"/>
      <c r="V74" s="2674">
        <v>250</v>
      </c>
      <c r="W74" s="2674"/>
      <c r="X74" s="2515">
        <v>250</v>
      </c>
      <c r="Y74" s="2674">
        <v>250</v>
      </c>
      <c r="Z74" s="2674">
        <v>250</v>
      </c>
      <c r="AA74" s="996" t="s">
        <v>2789</v>
      </c>
      <c r="AB74" s="72" t="s">
        <v>893</v>
      </c>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row>
    <row r="75" spans="1:64" s="2514" customFormat="1" ht="48">
      <c r="A75" s="2425"/>
      <c r="B75" s="71"/>
      <c r="C75" s="71"/>
      <c r="D75" s="3230"/>
      <c r="E75" s="3232"/>
      <c r="F75" s="3223"/>
      <c r="G75" s="3234"/>
      <c r="H75" s="2443"/>
      <c r="I75" s="2443"/>
      <c r="J75" s="2443"/>
      <c r="K75" s="2443"/>
      <c r="L75" s="2444" t="s">
        <v>2790</v>
      </c>
      <c r="M75" s="2444">
        <v>48000</v>
      </c>
      <c r="N75" s="2444"/>
      <c r="O75" s="2444"/>
      <c r="P75" s="2444"/>
      <c r="Q75" s="2444"/>
      <c r="R75" s="2444">
        <v>8000</v>
      </c>
      <c r="S75" s="2444"/>
      <c r="T75" s="2444">
        <v>8000</v>
      </c>
      <c r="U75" s="2444"/>
      <c r="V75" s="2444">
        <v>8000</v>
      </c>
      <c r="W75" s="2444"/>
      <c r="X75" s="2444">
        <v>8000</v>
      </c>
      <c r="Y75" s="2444">
        <v>8000</v>
      </c>
      <c r="Z75" s="2444">
        <v>8000</v>
      </c>
      <c r="AA75" s="2444" t="s">
        <v>2789</v>
      </c>
      <c r="AB75" s="72" t="s">
        <v>893</v>
      </c>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row>
    <row r="76" spans="1:64" ht="120">
      <c r="D76" s="2515"/>
      <c r="E76" s="996" t="s">
        <v>2791</v>
      </c>
      <c r="F76" s="2515"/>
      <c r="G76" s="996" t="s">
        <v>2792</v>
      </c>
      <c r="H76" s="973"/>
      <c r="I76" s="973"/>
      <c r="J76" s="973" t="s">
        <v>2705</v>
      </c>
      <c r="K76" s="973" t="s">
        <v>2705</v>
      </c>
      <c r="L76" s="996" t="s">
        <v>2793</v>
      </c>
      <c r="M76" s="2515">
        <v>19500</v>
      </c>
      <c r="N76" s="2515"/>
      <c r="O76" s="2515"/>
      <c r="P76" s="2515"/>
      <c r="Q76" s="2515"/>
      <c r="R76" s="2515"/>
      <c r="S76" s="2515"/>
      <c r="T76" s="2515"/>
      <c r="U76" s="2674"/>
      <c r="V76" s="2659"/>
      <c r="W76" s="2515">
        <v>19500</v>
      </c>
      <c r="X76" s="2515"/>
      <c r="Y76" s="2515"/>
      <c r="Z76" s="2515"/>
      <c r="AA76" s="996" t="s">
        <v>2789</v>
      </c>
      <c r="AB76" s="72" t="s">
        <v>2794</v>
      </c>
    </row>
    <row r="77" spans="1:64" s="2425" customFormat="1" ht="96">
      <c r="B77" s="71"/>
      <c r="C77" s="71"/>
      <c r="D77" s="2515"/>
      <c r="E77" s="996" t="s">
        <v>2795</v>
      </c>
      <c r="F77" s="2515"/>
      <c r="G77" s="996" t="s">
        <v>2796</v>
      </c>
      <c r="H77" s="973" t="s">
        <v>2705</v>
      </c>
      <c r="I77" s="973" t="s">
        <v>2705</v>
      </c>
      <c r="J77" s="973" t="s">
        <v>2705</v>
      </c>
      <c r="K77" s="973" t="s">
        <v>2705</v>
      </c>
      <c r="L77" s="996" t="s">
        <v>2797</v>
      </c>
      <c r="M77" s="2515">
        <v>7200</v>
      </c>
      <c r="N77" s="2515"/>
      <c r="O77" s="2515"/>
      <c r="P77" s="71"/>
      <c r="Q77" s="2515"/>
      <c r="R77" s="2515">
        <v>1800</v>
      </c>
      <c r="S77" s="2515"/>
      <c r="T77" s="2515">
        <v>1800</v>
      </c>
      <c r="U77" s="2674"/>
      <c r="V77" s="2659">
        <v>1800</v>
      </c>
      <c r="W77" s="2515"/>
      <c r="X77" s="2515">
        <v>1800</v>
      </c>
      <c r="Y77" s="2515"/>
      <c r="Z77" s="2515"/>
      <c r="AA77" s="996" t="s">
        <v>2789</v>
      </c>
      <c r="AB77" s="72" t="s">
        <v>2794</v>
      </c>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row>
    <row r="78" spans="1:64">
      <c r="D78" s="2675"/>
      <c r="E78" s="2589" t="s">
        <v>2798</v>
      </c>
      <c r="F78" s="2675"/>
      <c r="G78" s="989"/>
      <c r="H78" s="2633"/>
      <c r="I78" s="2633"/>
      <c r="J78" s="2633"/>
      <c r="K78" s="2633"/>
      <c r="L78" s="989"/>
      <c r="M78" s="2675"/>
      <c r="N78" s="2515"/>
      <c r="O78" s="2675"/>
      <c r="P78" s="2675"/>
      <c r="Q78" s="2675"/>
      <c r="R78" s="2675"/>
      <c r="S78" s="2675"/>
      <c r="T78" s="2675"/>
      <c r="U78" s="2670"/>
      <c r="V78" s="2670"/>
      <c r="W78" s="2675"/>
      <c r="X78" s="2675"/>
      <c r="Y78" s="2675"/>
      <c r="Z78" s="2675"/>
      <c r="AA78" s="976"/>
      <c r="AB78" s="72"/>
    </row>
    <row r="79" spans="1:64" ht="72">
      <c r="D79" s="3235"/>
      <c r="E79" s="3237" t="s">
        <v>2799</v>
      </c>
      <c r="F79" s="3235"/>
      <c r="G79" s="3235" t="s">
        <v>2800</v>
      </c>
      <c r="H79" s="3239" t="s">
        <v>2705</v>
      </c>
      <c r="I79" s="3239" t="s">
        <v>2705</v>
      </c>
      <c r="J79" s="3239" t="s">
        <v>2705</v>
      </c>
      <c r="K79" s="3239" t="s">
        <v>2705</v>
      </c>
      <c r="L79" s="996" t="s">
        <v>2801</v>
      </c>
      <c r="M79" s="2515">
        <v>30000</v>
      </c>
      <c r="N79" s="2515"/>
      <c r="O79" s="2515"/>
      <c r="P79" s="2515"/>
      <c r="Q79" s="2515"/>
      <c r="R79" s="2515"/>
      <c r="S79" s="2659"/>
      <c r="T79" s="2515">
        <v>30000</v>
      </c>
      <c r="U79" s="2659"/>
      <c r="V79" s="2515"/>
      <c r="W79" s="2515"/>
      <c r="X79" s="2659"/>
      <c r="Y79" s="2515"/>
      <c r="Z79" s="2515"/>
      <c r="AA79" s="2516" t="s">
        <v>2789</v>
      </c>
      <c r="AB79" s="72" t="s">
        <v>2794</v>
      </c>
    </row>
    <row r="80" spans="1:64" ht="96">
      <c r="D80" s="3236"/>
      <c r="E80" s="3238"/>
      <c r="F80" s="3236"/>
      <c r="G80" s="3236"/>
      <c r="H80" s="3240"/>
      <c r="I80" s="3240"/>
      <c r="J80" s="3240"/>
      <c r="K80" s="3240"/>
      <c r="L80" s="996" t="s">
        <v>2802</v>
      </c>
      <c r="M80" s="2515">
        <v>10000</v>
      </c>
      <c r="N80" s="2515"/>
      <c r="O80" s="2515"/>
      <c r="P80" s="2515"/>
      <c r="Q80" s="2515"/>
      <c r="R80" s="2515"/>
      <c r="S80" s="2659"/>
      <c r="T80" s="2515">
        <v>10000</v>
      </c>
      <c r="U80" s="2659"/>
      <c r="V80" s="2515"/>
      <c r="W80" s="2515"/>
      <c r="X80" s="2515"/>
      <c r="Y80" s="2515"/>
      <c r="Z80" s="2515"/>
      <c r="AA80" s="2516" t="s">
        <v>2789</v>
      </c>
      <c r="AB80" s="72" t="s">
        <v>2794</v>
      </c>
    </row>
    <row r="81" spans="1:64" ht="43.5" customHeight="1">
      <c r="D81" s="3235"/>
      <c r="E81" s="3237" t="s">
        <v>2803</v>
      </c>
      <c r="F81" s="3235"/>
      <c r="G81" s="3235" t="s">
        <v>2804</v>
      </c>
      <c r="H81" s="3239" t="s">
        <v>2705</v>
      </c>
      <c r="I81" s="3239" t="s">
        <v>2705</v>
      </c>
      <c r="J81" s="3239" t="s">
        <v>2705</v>
      </c>
      <c r="K81" s="3239" t="s">
        <v>2705</v>
      </c>
      <c r="L81" s="996" t="s">
        <v>2801</v>
      </c>
      <c r="M81" s="2515">
        <v>30000</v>
      </c>
      <c r="N81" s="2515"/>
      <c r="O81" s="2515"/>
      <c r="P81" s="2515"/>
      <c r="Q81" s="2515">
        <v>30000</v>
      </c>
      <c r="R81" s="2515"/>
      <c r="S81" s="2659"/>
      <c r="T81" s="2515"/>
      <c r="U81" s="2659"/>
      <c r="V81" s="2515"/>
      <c r="W81" s="2515"/>
      <c r="X81" s="2515"/>
      <c r="Y81" s="2515"/>
      <c r="Z81" s="2515"/>
      <c r="AA81" s="2516" t="s">
        <v>2789</v>
      </c>
      <c r="AB81" s="72" t="s">
        <v>2794</v>
      </c>
    </row>
    <row r="82" spans="1:64" ht="96">
      <c r="D82" s="3236"/>
      <c r="E82" s="3238"/>
      <c r="F82" s="3236"/>
      <c r="G82" s="3236"/>
      <c r="H82" s="3240"/>
      <c r="I82" s="3240"/>
      <c r="J82" s="3240"/>
      <c r="K82" s="3240"/>
      <c r="L82" s="996" t="s">
        <v>2802</v>
      </c>
      <c r="M82" s="2515">
        <v>10000</v>
      </c>
      <c r="N82" s="2515"/>
      <c r="O82" s="2515"/>
      <c r="P82" s="2515"/>
      <c r="Q82" s="2515">
        <v>10000</v>
      </c>
      <c r="R82" s="2515"/>
      <c r="S82" s="2659"/>
      <c r="T82" s="2515"/>
      <c r="U82" s="2659"/>
      <c r="V82" s="2515"/>
      <c r="W82" s="2515"/>
      <c r="X82" s="2515"/>
      <c r="Y82" s="2515"/>
      <c r="Z82" s="2515"/>
      <c r="AA82" s="2516" t="s">
        <v>2789</v>
      </c>
      <c r="AB82" s="72" t="s">
        <v>2794</v>
      </c>
    </row>
    <row r="83" spans="1:64" s="2514" customFormat="1" ht="96">
      <c r="A83" s="2425"/>
      <c r="B83" s="71"/>
      <c r="C83" s="71"/>
      <c r="D83" s="2517"/>
      <c r="E83" s="1044" t="s">
        <v>2805</v>
      </c>
      <c r="F83" s="1044"/>
      <c r="G83" s="1044" t="s">
        <v>2806</v>
      </c>
      <c r="H83" s="973" t="s">
        <v>2705</v>
      </c>
      <c r="I83" s="973" t="s">
        <v>2705</v>
      </c>
      <c r="J83" s="973" t="s">
        <v>2705</v>
      </c>
      <c r="K83" s="973" t="s">
        <v>2705</v>
      </c>
      <c r="L83" s="996" t="s">
        <v>2807</v>
      </c>
      <c r="M83" s="2515">
        <v>12000</v>
      </c>
      <c r="N83" s="2515"/>
      <c r="O83" s="2515"/>
      <c r="P83" s="2515"/>
      <c r="Q83" s="2515"/>
      <c r="R83" s="2515"/>
      <c r="S83" s="2515">
        <v>12000</v>
      </c>
      <c r="T83" s="2674"/>
      <c r="U83" s="2515"/>
      <c r="V83" s="2515"/>
      <c r="W83" s="2515"/>
      <c r="X83" s="2515"/>
      <c r="Y83" s="2515"/>
      <c r="Z83" s="2515"/>
      <c r="AA83" s="2516" t="s">
        <v>2789</v>
      </c>
      <c r="AB83" s="72" t="s">
        <v>2794</v>
      </c>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row>
    <row r="84" spans="1:64" s="2514" customFormat="1" ht="168">
      <c r="A84" s="2425"/>
      <c r="B84" s="71"/>
      <c r="C84" s="71"/>
      <c r="D84" s="2517"/>
      <c r="E84" s="1044" t="s">
        <v>2808</v>
      </c>
      <c r="F84" s="1044"/>
      <c r="G84" s="1044" t="s">
        <v>2809</v>
      </c>
      <c r="H84" s="973"/>
      <c r="I84" s="973"/>
      <c r="J84" s="973"/>
      <c r="K84" s="973"/>
      <c r="L84" s="996" t="s">
        <v>2810</v>
      </c>
      <c r="M84" s="2515">
        <v>12000</v>
      </c>
      <c r="N84" s="2515"/>
      <c r="O84" s="2515"/>
      <c r="P84" s="2515"/>
      <c r="Q84" s="2515"/>
      <c r="R84" s="2515"/>
      <c r="S84" s="2515"/>
      <c r="T84" s="2674"/>
      <c r="U84" s="2515"/>
      <c r="V84" s="2515">
        <v>12000</v>
      </c>
      <c r="W84" s="2515"/>
      <c r="X84" s="2515"/>
      <c r="Y84" s="2515"/>
      <c r="Z84" s="2515"/>
      <c r="AA84" s="2516" t="s">
        <v>2789</v>
      </c>
      <c r="AB84" s="72" t="s">
        <v>2794</v>
      </c>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row>
    <row r="85" spans="1:64" ht="61.1" customHeight="1">
      <c r="D85" s="2517"/>
      <c r="E85" s="1044" t="s">
        <v>2811</v>
      </c>
      <c r="F85" s="1044"/>
      <c r="G85" s="1044" t="s">
        <v>2812</v>
      </c>
      <c r="H85" s="973"/>
      <c r="I85" s="973"/>
      <c r="J85" s="973"/>
      <c r="K85" s="973"/>
      <c r="L85" s="996" t="s">
        <v>2813</v>
      </c>
      <c r="M85" s="2515">
        <v>12000</v>
      </c>
      <c r="N85" s="2515"/>
      <c r="O85" s="2515"/>
      <c r="P85" s="2515"/>
      <c r="Q85" s="2515"/>
      <c r="R85" s="2515"/>
      <c r="S85" s="2515">
        <v>12000</v>
      </c>
      <c r="T85" s="2674"/>
      <c r="U85" s="2515"/>
      <c r="V85" s="2515"/>
      <c r="W85" s="2515"/>
      <c r="X85" s="2515"/>
      <c r="Y85" s="2515"/>
      <c r="Z85" s="2515"/>
      <c r="AA85" s="2516" t="s">
        <v>2789</v>
      </c>
      <c r="AB85" s="72" t="s">
        <v>2794</v>
      </c>
    </row>
    <row r="86" spans="1:64">
      <c r="D86" s="2515"/>
      <c r="E86" s="2589" t="s">
        <v>2814</v>
      </c>
      <c r="F86" s="2515"/>
      <c r="G86" s="996"/>
      <c r="H86" s="973"/>
      <c r="I86" s="973"/>
      <c r="J86" s="973"/>
      <c r="K86" s="973"/>
      <c r="L86" s="996"/>
      <c r="M86" s="2515"/>
      <c r="N86" s="2515"/>
      <c r="O86" s="2515"/>
      <c r="P86" s="2515"/>
      <c r="Q86" s="2515"/>
      <c r="R86" s="2515"/>
      <c r="S86" s="2515"/>
      <c r="T86" s="2515"/>
      <c r="U86" s="2659"/>
      <c r="V86" s="2659"/>
      <c r="W86" s="2515"/>
      <c r="X86" s="2515"/>
      <c r="Y86" s="2515"/>
      <c r="Z86" s="2515"/>
      <c r="AA86" s="2676"/>
      <c r="AB86" s="72"/>
    </row>
    <row r="87" spans="1:64" ht="72">
      <c r="D87" s="3235"/>
      <c r="E87" s="3237" t="s">
        <v>2815</v>
      </c>
      <c r="F87" s="3235"/>
      <c r="G87" s="3235" t="s">
        <v>2816</v>
      </c>
      <c r="H87" s="3239" t="s">
        <v>2705</v>
      </c>
      <c r="I87" s="3239" t="s">
        <v>2705</v>
      </c>
      <c r="J87" s="3239"/>
      <c r="K87" s="3239"/>
      <c r="L87" s="996" t="s">
        <v>2801</v>
      </c>
      <c r="M87" s="2515">
        <v>30000</v>
      </c>
      <c r="N87" s="2515"/>
      <c r="O87" s="2515"/>
      <c r="P87" s="2515"/>
      <c r="Q87" s="2515"/>
      <c r="R87" s="2515"/>
      <c r="S87" s="2516">
        <v>30000</v>
      </c>
      <c r="T87" s="2515"/>
      <c r="U87" s="2659"/>
      <c r="V87" s="2659"/>
      <c r="W87" s="2515"/>
      <c r="X87" s="2515"/>
      <c r="Y87" s="2515"/>
      <c r="Z87" s="2515"/>
      <c r="AA87" s="996" t="s">
        <v>2789</v>
      </c>
      <c r="AB87" s="72" t="s">
        <v>2794</v>
      </c>
    </row>
    <row r="88" spans="1:64" ht="96">
      <c r="D88" s="3236"/>
      <c r="E88" s="3238"/>
      <c r="F88" s="3236"/>
      <c r="G88" s="3236"/>
      <c r="H88" s="3240"/>
      <c r="I88" s="3240"/>
      <c r="J88" s="3240"/>
      <c r="K88" s="3240"/>
      <c r="L88" s="996" t="s">
        <v>2817</v>
      </c>
      <c r="M88" s="2515">
        <v>5000</v>
      </c>
      <c r="N88" s="2515"/>
      <c r="O88" s="2515"/>
      <c r="P88" s="2515"/>
      <c r="Q88" s="2515"/>
      <c r="R88" s="2515"/>
      <c r="S88" s="2674">
        <v>5000</v>
      </c>
      <c r="T88" s="2515"/>
      <c r="U88" s="2515"/>
      <c r="V88" s="2515"/>
      <c r="W88" s="2659"/>
      <c r="X88" s="2515"/>
      <c r="Y88" s="2515"/>
      <c r="Z88" s="2515"/>
      <c r="AA88" s="996" t="s">
        <v>2789</v>
      </c>
      <c r="AB88" s="72" t="s">
        <v>2794</v>
      </c>
    </row>
    <row r="89" spans="1:64" ht="120">
      <c r="D89" s="2518"/>
      <c r="E89" s="996" t="s">
        <v>2818</v>
      </c>
      <c r="F89" s="2515" t="s">
        <v>2819</v>
      </c>
      <c r="G89" s="996" t="s">
        <v>2820</v>
      </c>
      <c r="H89" s="973" t="s">
        <v>2705</v>
      </c>
      <c r="I89" s="973" t="s">
        <v>2705</v>
      </c>
      <c r="J89" s="973" t="s">
        <v>2705</v>
      </c>
      <c r="K89" s="973" t="s">
        <v>2705</v>
      </c>
      <c r="L89" s="996" t="s">
        <v>2821</v>
      </c>
      <c r="M89" s="2515">
        <v>90000</v>
      </c>
      <c r="N89" s="2515"/>
      <c r="O89" s="2515"/>
      <c r="P89" s="2515"/>
      <c r="Q89" s="2515">
        <v>24000</v>
      </c>
      <c r="R89" s="2515">
        <v>24000</v>
      </c>
      <c r="S89" s="2515">
        <v>24000</v>
      </c>
      <c r="T89" s="2659">
        <v>12000</v>
      </c>
      <c r="U89" s="2515">
        <v>6000</v>
      </c>
      <c r="V89" s="2515"/>
      <c r="W89" s="2515"/>
      <c r="X89" s="2515"/>
      <c r="Y89" s="2515"/>
      <c r="Z89" s="2515"/>
      <c r="AA89" s="996" t="s">
        <v>2789</v>
      </c>
      <c r="AB89" s="72" t="s">
        <v>2634</v>
      </c>
    </row>
    <row r="90" spans="1:64" ht="96">
      <c r="D90" s="2518"/>
      <c r="E90" s="996" t="s">
        <v>2822</v>
      </c>
      <c r="F90" s="2515"/>
      <c r="G90" s="996" t="s">
        <v>2823</v>
      </c>
      <c r="H90" s="973" t="s">
        <v>2705</v>
      </c>
      <c r="I90" s="973" t="s">
        <v>2705</v>
      </c>
      <c r="J90" s="973" t="s">
        <v>2705</v>
      </c>
      <c r="K90" s="973" t="s">
        <v>2705</v>
      </c>
      <c r="L90" s="996" t="s">
        <v>2824</v>
      </c>
      <c r="M90" s="2515">
        <v>6000</v>
      </c>
      <c r="N90" s="2515"/>
      <c r="O90" s="2515"/>
      <c r="P90" s="2515"/>
      <c r="Q90" s="2515"/>
      <c r="R90" s="2515"/>
      <c r="S90" s="2515"/>
      <c r="T90" s="2515">
        <v>6000</v>
      </c>
      <c r="U90" s="2659"/>
      <c r="V90" s="2515"/>
      <c r="W90" s="2515"/>
      <c r="X90" s="2515"/>
      <c r="Y90" s="2515"/>
      <c r="Z90" s="2515"/>
      <c r="AA90" s="996" t="s">
        <v>2825</v>
      </c>
      <c r="AB90" s="72" t="s">
        <v>2794</v>
      </c>
    </row>
    <row r="91" spans="1:64" ht="72">
      <c r="D91" s="2677"/>
      <c r="E91" s="2519" t="s">
        <v>2826</v>
      </c>
      <c r="F91" s="3237" t="s">
        <v>2827</v>
      </c>
      <c r="G91" s="2519" t="s">
        <v>2828</v>
      </c>
      <c r="H91" s="973" t="s">
        <v>2705</v>
      </c>
      <c r="I91" s="973" t="s">
        <v>2705</v>
      </c>
      <c r="J91" s="973" t="s">
        <v>2705</v>
      </c>
      <c r="K91" s="973" t="s">
        <v>2705</v>
      </c>
      <c r="L91" s="996" t="s">
        <v>2829</v>
      </c>
      <c r="M91" s="2515">
        <v>12000</v>
      </c>
      <c r="N91" s="2515"/>
      <c r="O91" s="2515"/>
      <c r="P91" s="2515"/>
      <c r="Q91" s="2515"/>
      <c r="R91" s="2515"/>
      <c r="S91" s="2659"/>
      <c r="T91" s="2515"/>
      <c r="U91" s="2515">
        <v>6000</v>
      </c>
      <c r="V91" s="2515"/>
      <c r="W91" s="2515">
        <v>6000</v>
      </c>
      <c r="X91" s="2515"/>
      <c r="Y91" s="2515"/>
      <c r="Z91" s="2515"/>
      <c r="AA91" s="996" t="s">
        <v>2825</v>
      </c>
      <c r="AB91" s="72" t="s">
        <v>2794</v>
      </c>
    </row>
    <row r="92" spans="1:64" ht="72">
      <c r="D92" s="2677"/>
      <c r="E92" s="2520" t="s">
        <v>2830</v>
      </c>
      <c r="F92" s="3238"/>
      <c r="G92" s="2521" t="s">
        <v>2828</v>
      </c>
      <c r="H92" s="2605" t="s">
        <v>2705</v>
      </c>
      <c r="I92" s="2605" t="s">
        <v>2705</v>
      </c>
      <c r="J92" s="2605" t="s">
        <v>2705</v>
      </c>
      <c r="K92" s="2605" t="s">
        <v>2705</v>
      </c>
      <c r="L92" s="996" t="s">
        <v>2810</v>
      </c>
      <c r="M92" s="2515">
        <v>12000</v>
      </c>
      <c r="N92" s="2515"/>
      <c r="O92" s="2515"/>
      <c r="P92" s="2515"/>
      <c r="Q92" s="2515"/>
      <c r="R92" s="2515"/>
      <c r="S92" s="2659"/>
      <c r="T92" s="2515"/>
      <c r="U92" s="2515"/>
      <c r="V92" s="2515"/>
      <c r="W92" s="2515"/>
      <c r="X92" s="2515">
        <v>12000</v>
      </c>
      <c r="Y92" s="2515"/>
      <c r="Z92" s="2515"/>
      <c r="AA92" s="996" t="s">
        <v>2825</v>
      </c>
      <c r="AB92" s="72" t="s">
        <v>2794</v>
      </c>
    </row>
    <row r="93" spans="1:64" ht="48">
      <c r="D93" s="2522"/>
      <c r="E93" s="996" t="s">
        <v>2831</v>
      </c>
      <c r="F93" s="2516"/>
      <c r="G93" s="996" t="s">
        <v>2832</v>
      </c>
      <c r="H93" s="955" t="s">
        <v>2705</v>
      </c>
      <c r="I93" s="955" t="s">
        <v>2705</v>
      </c>
      <c r="J93" s="955" t="s">
        <v>2705</v>
      </c>
      <c r="K93" s="955" t="s">
        <v>2705</v>
      </c>
      <c r="L93" s="996" t="s">
        <v>2833</v>
      </c>
      <c r="M93" s="2515">
        <v>18000</v>
      </c>
      <c r="N93" s="2515"/>
      <c r="O93" s="2515"/>
      <c r="P93" s="2515"/>
      <c r="Q93" s="2515"/>
      <c r="R93" s="2515"/>
      <c r="S93" s="2659"/>
      <c r="T93" s="2515"/>
      <c r="U93" s="2515"/>
      <c r="V93" s="2515"/>
      <c r="W93" s="2515">
        <v>18000</v>
      </c>
      <c r="X93" s="2515"/>
      <c r="Y93" s="2515"/>
      <c r="Z93" s="2515"/>
      <c r="AA93" s="996" t="s">
        <v>2789</v>
      </c>
      <c r="AB93" s="72" t="s">
        <v>2634</v>
      </c>
    </row>
    <row r="94" spans="1:64" s="2425" customFormat="1" ht="144">
      <c r="B94" s="71"/>
      <c r="C94" s="71"/>
      <c r="D94" s="2521"/>
      <c r="E94" s="2519" t="s">
        <v>2834</v>
      </c>
      <c r="F94" s="2519"/>
      <c r="G94" s="2519" t="s">
        <v>2835</v>
      </c>
      <c r="H94" s="979" t="s">
        <v>2705</v>
      </c>
      <c r="I94" s="979" t="s">
        <v>2705</v>
      </c>
      <c r="J94" s="979" t="s">
        <v>2705</v>
      </c>
      <c r="K94" s="979" t="s">
        <v>2705</v>
      </c>
      <c r="L94" s="2519" t="s">
        <v>2836</v>
      </c>
      <c r="M94" s="2515">
        <v>12000</v>
      </c>
      <c r="N94" s="2515"/>
      <c r="O94" s="2515"/>
      <c r="P94" s="2515"/>
      <c r="Q94" s="2515"/>
      <c r="R94" s="2515">
        <v>12000</v>
      </c>
      <c r="S94" s="2659"/>
      <c r="T94" s="2515"/>
      <c r="U94" s="2515"/>
      <c r="V94" s="2515"/>
      <c r="W94" s="2515"/>
      <c r="X94" s="2515"/>
      <c r="Y94" s="2515"/>
      <c r="Z94" s="2515"/>
      <c r="AA94" s="996" t="s">
        <v>2789</v>
      </c>
      <c r="AB94" s="2678" t="s">
        <v>2794</v>
      </c>
      <c r="AC94" s="78"/>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row>
    <row r="95" spans="1:64" s="2425" customFormat="1" ht="48">
      <c r="B95" s="71"/>
      <c r="C95" s="71"/>
      <c r="D95" s="2522"/>
      <c r="E95" s="3237" t="s">
        <v>2837</v>
      </c>
      <c r="F95" s="3235"/>
      <c r="G95" s="3235" t="s">
        <v>2838</v>
      </c>
      <c r="H95" s="3239"/>
      <c r="I95" s="3239"/>
      <c r="J95" s="3239" t="s">
        <v>2705</v>
      </c>
      <c r="K95" s="3239" t="s">
        <v>2705</v>
      </c>
      <c r="L95" s="996" t="s">
        <v>2839</v>
      </c>
      <c r="M95" s="2515">
        <v>60000</v>
      </c>
      <c r="N95" s="2515"/>
      <c r="O95" s="2515"/>
      <c r="P95" s="2515"/>
      <c r="Q95" s="2515"/>
      <c r="R95" s="2515"/>
      <c r="S95" s="2659"/>
      <c r="T95" s="2515"/>
      <c r="U95" s="2515"/>
      <c r="V95" s="2515"/>
      <c r="W95" s="2515"/>
      <c r="X95" s="2515"/>
      <c r="Y95" s="2515">
        <v>60000</v>
      </c>
      <c r="Z95" s="2515"/>
      <c r="AA95" s="996" t="s">
        <v>2789</v>
      </c>
      <c r="AB95" s="72" t="s">
        <v>2840</v>
      </c>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row>
    <row r="96" spans="1:64" s="2425" customFormat="1" ht="72">
      <c r="B96" s="71"/>
      <c r="C96" s="71"/>
      <c r="D96" s="2522"/>
      <c r="E96" s="3245"/>
      <c r="F96" s="3242"/>
      <c r="G96" s="3242"/>
      <c r="H96" s="3241"/>
      <c r="I96" s="3241"/>
      <c r="J96" s="3241"/>
      <c r="K96" s="3241"/>
      <c r="L96" s="996" t="s">
        <v>2841</v>
      </c>
      <c r="M96" s="2515">
        <v>14400</v>
      </c>
      <c r="N96" s="2515"/>
      <c r="O96" s="2515"/>
      <c r="P96" s="2515"/>
      <c r="Q96" s="2515"/>
      <c r="R96" s="2515"/>
      <c r="S96" s="2659"/>
      <c r="T96" s="2515"/>
      <c r="U96" s="2515"/>
      <c r="V96" s="2515"/>
      <c r="W96" s="2515"/>
      <c r="X96" s="2515"/>
      <c r="Y96" s="2515">
        <v>20000</v>
      </c>
      <c r="Z96" s="2515"/>
      <c r="AA96" s="996" t="s">
        <v>2789</v>
      </c>
      <c r="AB96" s="72" t="s">
        <v>2840</v>
      </c>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row>
    <row r="97" spans="1:64" s="2425" customFormat="1">
      <c r="B97" s="71"/>
      <c r="C97" s="71"/>
      <c r="D97" s="2522"/>
      <c r="E97" s="3245"/>
      <c r="F97" s="3242"/>
      <c r="G97" s="3242"/>
      <c r="H97" s="3241"/>
      <c r="I97" s="3241"/>
      <c r="J97" s="3241"/>
      <c r="K97" s="3241"/>
      <c r="L97" s="996" t="s">
        <v>2842</v>
      </c>
      <c r="M97" s="2515">
        <v>20600</v>
      </c>
      <c r="N97" s="2515"/>
      <c r="O97" s="2515"/>
      <c r="P97" s="2515"/>
      <c r="Q97" s="2515"/>
      <c r="R97" s="2515"/>
      <c r="S97" s="2659"/>
      <c r="T97" s="2515"/>
      <c r="U97" s="2515"/>
      <c r="V97" s="2515"/>
      <c r="W97" s="2515"/>
      <c r="X97" s="2515"/>
      <c r="Y97" s="2515">
        <v>15000</v>
      </c>
      <c r="Z97" s="2515"/>
      <c r="AA97" s="996" t="s">
        <v>2789</v>
      </c>
      <c r="AB97" s="72" t="s">
        <v>2840</v>
      </c>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row>
    <row r="98" spans="1:64" s="2425" customFormat="1">
      <c r="B98" s="71"/>
      <c r="C98" s="71"/>
      <c r="D98" s="2522"/>
      <c r="E98" s="3238"/>
      <c r="F98" s="3236"/>
      <c r="G98" s="3236"/>
      <c r="H98" s="3240"/>
      <c r="I98" s="3240"/>
      <c r="J98" s="3240"/>
      <c r="K98" s="3240"/>
      <c r="L98" s="996" t="s">
        <v>2843</v>
      </c>
      <c r="M98" s="2515">
        <v>15000</v>
      </c>
      <c r="N98" s="2515"/>
      <c r="O98" s="2515"/>
      <c r="P98" s="2515"/>
      <c r="Q98" s="2515"/>
      <c r="R98" s="2515"/>
      <c r="S98" s="2659"/>
      <c r="T98" s="2515"/>
      <c r="U98" s="2515"/>
      <c r="V98" s="2515"/>
      <c r="W98" s="2515"/>
      <c r="X98" s="2515"/>
      <c r="Y98" s="2515">
        <v>15000</v>
      </c>
      <c r="Z98" s="2515"/>
      <c r="AA98" s="996" t="s">
        <v>2789</v>
      </c>
      <c r="AB98" s="72" t="s">
        <v>2840</v>
      </c>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row>
    <row r="99" spans="1:64" s="2425" customFormat="1" ht="72">
      <c r="B99" s="71"/>
      <c r="C99" s="71"/>
      <c r="D99" s="2522"/>
      <c r="E99" s="2519" t="s">
        <v>2844</v>
      </c>
      <c r="F99" s="2679">
        <f>SUM(F94:F98)</f>
        <v>0</v>
      </c>
      <c r="G99" s="2679" t="s">
        <v>2845</v>
      </c>
      <c r="H99" s="979"/>
      <c r="I99" s="979"/>
      <c r="J99" s="979"/>
      <c r="K99" s="979"/>
      <c r="L99" s="996" t="s">
        <v>2846</v>
      </c>
      <c r="M99" s="2515">
        <v>12000</v>
      </c>
      <c r="N99" s="2515"/>
      <c r="O99" s="2515"/>
      <c r="P99" s="2515"/>
      <c r="Q99" s="2515"/>
      <c r="R99" s="2515"/>
      <c r="S99" s="2659"/>
      <c r="T99" s="2515"/>
      <c r="U99" s="2515"/>
      <c r="V99" s="2515"/>
      <c r="W99" s="2515">
        <v>12000</v>
      </c>
      <c r="X99" s="2515"/>
      <c r="Y99" s="2515"/>
      <c r="Z99" s="2515"/>
      <c r="AA99" s="2680" t="s">
        <v>2847</v>
      </c>
      <c r="AB99" s="2678" t="s">
        <v>2840</v>
      </c>
      <c r="AC99" s="78"/>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row>
    <row r="100" spans="1:64" s="2523" customFormat="1">
      <c r="B100" s="71"/>
      <c r="C100" s="71"/>
      <c r="D100" s="3242"/>
      <c r="E100" s="996" t="s">
        <v>2848</v>
      </c>
      <c r="F100" s="2515"/>
      <c r="G100" s="996"/>
      <c r="H100" s="973"/>
      <c r="I100" s="973"/>
      <c r="J100" s="973"/>
      <c r="K100" s="973"/>
      <c r="L100" s="996"/>
      <c r="M100" s="2515"/>
      <c r="N100" s="2515"/>
      <c r="O100" s="2515"/>
      <c r="P100" s="2515"/>
      <c r="Q100" s="2515"/>
      <c r="R100" s="2515"/>
      <c r="S100" s="2515"/>
      <c r="T100" s="2515"/>
      <c r="U100" s="2659"/>
      <c r="V100" s="2515"/>
      <c r="W100" s="2515"/>
      <c r="X100" s="2515"/>
      <c r="Y100" s="2515"/>
      <c r="Z100" s="2515"/>
      <c r="AA100" s="2515"/>
      <c r="AB100" s="72"/>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row>
    <row r="101" spans="1:64" s="2425" customFormat="1" ht="72">
      <c r="B101" s="71"/>
      <c r="C101" s="71"/>
      <c r="D101" s="3236"/>
      <c r="E101" s="996" t="s">
        <v>2849</v>
      </c>
      <c r="F101" s="2515"/>
      <c r="G101" s="996"/>
      <c r="H101" s="973" t="s">
        <v>2705</v>
      </c>
      <c r="I101" s="973" t="s">
        <v>2705</v>
      </c>
      <c r="J101" s="973" t="s">
        <v>2705</v>
      </c>
      <c r="K101" s="973" t="s">
        <v>2705</v>
      </c>
      <c r="L101" s="996" t="s">
        <v>2850</v>
      </c>
      <c r="M101" s="2515">
        <v>14400</v>
      </c>
      <c r="N101" s="2515"/>
      <c r="O101" s="2515"/>
      <c r="P101" s="2659">
        <v>7200</v>
      </c>
      <c r="Q101" s="2515"/>
      <c r="R101" s="2515"/>
      <c r="S101" s="2515"/>
      <c r="T101" s="2515"/>
      <c r="U101" s="2515"/>
      <c r="V101" s="2515"/>
      <c r="W101" s="2515"/>
      <c r="X101" s="2515">
        <v>7200</v>
      </c>
      <c r="Y101" s="2659"/>
      <c r="Z101" s="2515"/>
      <c r="AA101" s="996" t="s">
        <v>2789</v>
      </c>
      <c r="AB101" s="72" t="s">
        <v>2794</v>
      </c>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row>
    <row r="102" spans="1:64" s="2425" customFormat="1" ht="130.5" customHeight="1">
      <c r="B102" s="71"/>
      <c r="C102" s="71"/>
      <c r="D102" s="2681"/>
      <c r="E102" s="1017" t="s">
        <v>2851</v>
      </c>
      <c r="F102" s="1011" t="s">
        <v>2852</v>
      </c>
      <c r="G102" s="3243" t="s">
        <v>2853</v>
      </c>
      <c r="H102" s="3239" t="s">
        <v>2705</v>
      </c>
      <c r="I102" s="3239" t="s">
        <v>2705</v>
      </c>
      <c r="J102" s="3239" t="s">
        <v>2705</v>
      </c>
      <c r="K102" s="3239" t="s">
        <v>2705</v>
      </c>
      <c r="L102" s="3235" t="s">
        <v>2854</v>
      </c>
      <c r="M102" s="3235">
        <v>16800</v>
      </c>
      <c r="N102" s="3256"/>
      <c r="O102" s="3239"/>
      <c r="P102" s="3252"/>
      <c r="Q102" s="3246"/>
      <c r="R102" s="3235">
        <v>16800</v>
      </c>
      <c r="S102" s="3246"/>
      <c r="T102" s="3252"/>
      <c r="U102" s="3252"/>
      <c r="V102" s="3252"/>
      <c r="W102" s="3252"/>
      <c r="X102" s="3246"/>
      <c r="Y102" s="3249"/>
      <c r="Z102" s="3252"/>
      <c r="AA102" s="2516" t="s">
        <v>2789</v>
      </c>
      <c r="AB102" s="3004" t="s">
        <v>2855</v>
      </c>
      <c r="AC102" s="3255"/>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row>
    <row r="103" spans="1:64" s="2425" customFormat="1" ht="18.75" customHeight="1">
      <c r="B103" s="71"/>
      <c r="C103" s="71"/>
      <c r="D103" s="2681"/>
      <c r="E103" s="1017"/>
      <c r="F103" s="3243" t="s">
        <v>2856</v>
      </c>
      <c r="G103" s="3244"/>
      <c r="H103" s="3241"/>
      <c r="I103" s="3241"/>
      <c r="J103" s="3241"/>
      <c r="K103" s="3241"/>
      <c r="L103" s="3242"/>
      <c r="M103" s="3242"/>
      <c r="N103" s="3257"/>
      <c r="O103" s="3241"/>
      <c r="P103" s="3253"/>
      <c r="Q103" s="3247"/>
      <c r="R103" s="3242"/>
      <c r="S103" s="3247"/>
      <c r="T103" s="3253"/>
      <c r="U103" s="3253"/>
      <c r="V103" s="3253"/>
      <c r="W103" s="3253"/>
      <c r="X103" s="3247"/>
      <c r="Y103" s="3250"/>
      <c r="Z103" s="3253"/>
      <c r="AA103" s="2516"/>
      <c r="AB103" s="3004"/>
      <c r="AC103" s="3255"/>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row>
    <row r="104" spans="1:64" s="2425" customFormat="1" ht="18.75" customHeight="1">
      <c r="B104" s="71"/>
      <c r="C104" s="71"/>
      <c r="D104" s="2681"/>
      <c r="E104" s="1017"/>
      <c r="F104" s="3244"/>
      <c r="G104" s="3244"/>
      <c r="H104" s="1015"/>
      <c r="I104" s="1015"/>
      <c r="J104" s="1015"/>
      <c r="K104" s="1015"/>
      <c r="L104" s="3242"/>
      <c r="M104" s="3242"/>
      <c r="N104" s="3257"/>
      <c r="O104" s="3241"/>
      <c r="P104" s="3253"/>
      <c r="Q104" s="3247"/>
      <c r="R104" s="3242"/>
      <c r="S104" s="3247"/>
      <c r="T104" s="3253"/>
      <c r="U104" s="3253"/>
      <c r="V104" s="3253"/>
      <c r="W104" s="3253"/>
      <c r="X104" s="3247"/>
      <c r="Y104" s="3250"/>
      <c r="Z104" s="3253"/>
      <c r="AA104" s="2516"/>
      <c r="AB104" s="3004"/>
      <c r="AC104" s="3255"/>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row>
    <row r="105" spans="1:64" s="2425" customFormat="1" ht="18.75" customHeight="1">
      <c r="B105" s="71"/>
      <c r="C105" s="71"/>
      <c r="D105" s="2681"/>
      <c r="E105" s="1017"/>
      <c r="F105" s="3244"/>
      <c r="G105" s="3244"/>
      <c r="H105" s="1015"/>
      <c r="I105" s="1015"/>
      <c r="J105" s="1015"/>
      <c r="K105" s="1015"/>
      <c r="L105" s="3236"/>
      <c r="M105" s="3236"/>
      <c r="N105" s="3258"/>
      <c r="O105" s="3240"/>
      <c r="P105" s="3254"/>
      <c r="Q105" s="3248"/>
      <c r="R105" s="3236"/>
      <c r="S105" s="3248"/>
      <c r="T105" s="3254"/>
      <c r="U105" s="3254"/>
      <c r="V105" s="3254"/>
      <c r="W105" s="3254"/>
      <c r="X105" s="3248"/>
      <c r="Y105" s="3251"/>
      <c r="Z105" s="3254"/>
      <c r="AA105" s="2516"/>
      <c r="AB105" s="3004"/>
      <c r="AC105" s="3255"/>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row>
    <row r="106" spans="1:64" s="2425" customFormat="1" ht="72">
      <c r="B106" s="71"/>
      <c r="C106" s="71"/>
      <c r="D106" s="2681"/>
      <c r="E106" s="1017"/>
      <c r="F106" s="3244"/>
      <c r="G106" s="3244"/>
      <c r="H106" s="1015"/>
      <c r="I106" s="1015"/>
      <c r="J106" s="1015"/>
      <c r="K106" s="1015"/>
      <c r="L106" s="996" t="s">
        <v>2857</v>
      </c>
      <c r="M106" s="2515">
        <v>10800</v>
      </c>
      <c r="N106" s="2654"/>
      <c r="O106" s="72"/>
      <c r="P106" s="2654"/>
      <c r="Q106" s="2682"/>
      <c r="R106" s="2515">
        <v>10800</v>
      </c>
      <c r="S106" s="2682"/>
      <c r="T106" s="1039"/>
      <c r="U106" s="1039"/>
      <c r="V106" s="1039"/>
      <c r="W106" s="1039"/>
      <c r="X106" s="2682"/>
      <c r="Y106" s="2683"/>
      <c r="Z106" s="1039"/>
      <c r="AA106" s="996" t="s">
        <v>2789</v>
      </c>
      <c r="AB106" s="72" t="s">
        <v>2634</v>
      </c>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row>
    <row r="107" spans="1:64" s="2425" customFormat="1">
      <c r="B107" s="71"/>
      <c r="C107" s="71"/>
      <c r="D107" s="2681"/>
      <c r="E107" s="1017"/>
      <c r="F107" s="3244"/>
      <c r="G107" s="3244"/>
      <c r="H107" s="1015"/>
      <c r="I107" s="1015"/>
      <c r="J107" s="1015"/>
      <c r="K107" s="1015"/>
      <c r="L107" s="996" t="s">
        <v>2858</v>
      </c>
      <c r="M107" s="2515">
        <v>15000</v>
      </c>
      <c r="N107" s="2654"/>
      <c r="O107" s="72"/>
      <c r="P107" s="2654"/>
      <c r="Q107" s="2682"/>
      <c r="R107" s="2515">
        <v>15000</v>
      </c>
      <c r="S107" s="2682"/>
      <c r="T107" s="2654"/>
      <c r="U107" s="2654"/>
      <c r="V107" s="2654"/>
      <c r="W107" s="2654"/>
      <c r="X107" s="2682"/>
      <c r="Y107" s="2683"/>
      <c r="Z107" s="2654"/>
      <c r="AA107" s="996" t="s">
        <v>2789</v>
      </c>
      <c r="AB107" s="72" t="s">
        <v>2634</v>
      </c>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row>
    <row r="108" spans="1:64" s="2523" customFormat="1" ht="120">
      <c r="B108" s="71"/>
      <c r="C108" s="71"/>
      <c r="D108" s="2681"/>
      <c r="E108" s="2518" t="s">
        <v>2859</v>
      </c>
      <c r="F108" s="2518"/>
      <c r="G108" s="2518"/>
      <c r="H108" s="2497" t="s">
        <v>2705</v>
      </c>
      <c r="I108" s="2497" t="s">
        <v>2705</v>
      </c>
      <c r="J108" s="2497" t="s">
        <v>2705</v>
      </c>
      <c r="K108" s="2497" t="s">
        <v>2705</v>
      </c>
      <c r="L108" s="2520" t="s">
        <v>2860</v>
      </c>
      <c r="M108" s="2518">
        <v>25000</v>
      </c>
      <c r="N108" s="2518"/>
      <c r="O108" s="2684"/>
      <c r="P108" s="2684"/>
      <c r="Q108" s="2684"/>
      <c r="R108" s="2684"/>
      <c r="S108" s="2685">
        <v>12000</v>
      </c>
      <c r="T108" s="2684"/>
      <c r="U108" s="2684"/>
      <c r="V108" s="2684"/>
      <c r="W108" s="2685">
        <v>13000</v>
      </c>
      <c r="X108" s="2684"/>
      <c r="Y108" s="2684"/>
      <c r="Z108" s="2684"/>
      <c r="AA108" s="2516" t="s">
        <v>2789</v>
      </c>
      <c r="AB108" s="973" t="s">
        <v>2634</v>
      </c>
      <c r="AC108" s="944"/>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row>
    <row r="109" spans="1:64" s="2530" customFormat="1">
      <c r="A109" s="2526">
        <v>2</v>
      </c>
      <c r="B109" s="2527">
        <v>6</v>
      </c>
      <c r="C109" s="2527">
        <v>12</v>
      </c>
      <c r="D109" s="2527">
        <v>6.1</v>
      </c>
      <c r="E109" s="2584" t="s">
        <v>2861</v>
      </c>
      <c r="F109" s="2527"/>
      <c r="G109" s="2527"/>
      <c r="H109" s="2527"/>
      <c r="I109" s="2527"/>
      <c r="J109" s="2527"/>
      <c r="K109" s="2527"/>
      <c r="L109" s="2527"/>
      <c r="M109" s="2527"/>
      <c r="N109" s="2528">
        <f>SUM(M110:M156)</f>
        <v>102105</v>
      </c>
      <c r="O109" s="2529">
        <f>SUM(O110:O156)</f>
        <v>0</v>
      </c>
      <c r="P109" s="2529">
        <f t="shared" ref="P109:Z109" si="6">SUM(P110:P156)</f>
        <v>25010</v>
      </c>
      <c r="Q109" s="2529">
        <f t="shared" si="6"/>
        <v>14950</v>
      </c>
      <c r="R109" s="2529">
        <f t="shared" si="6"/>
        <v>12000</v>
      </c>
      <c r="S109" s="2529">
        <f t="shared" si="6"/>
        <v>4475</v>
      </c>
      <c r="T109" s="2529">
        <f t="shared" si="6"/>
        <v>0</v>
      </c>
      <c r="U109" s="2529">
        <f t="shared" si="6"/>
        <v>0</v>
      </c>
      <c r="V109" s="2529">
        <f t="shared" si="6"/>
        <v>7315</v>
      </c>
      <c r="W109" s="2529">
        <f t="shared" si="6"/>
        <v>6720</v>
      </c>
      <c r="X109" s="2529">
        <f t="shared" si="6"/>
        <v>18700</v>
      </c>
      <c r="Y109" s="2529">
        <f t="shared" si="6"/>
        <v>11135</v>
      </c>
      <c r="Z109" s="2529">
        <f t="shared" si="6"/>
        <v>1800</v>
      </c>
      <c r="AA109" s="2527"/>
      <c r="AB109" s="2527"/>
      <c r="AC109" s="2419"/>
      <c r="AD109" s="2419"/>
      <c r="AE109" s="2419"/>
      <c r="AF109" s="2419"/>
      <c r="AG109" s="2419"/>
      <c r="AH109" s="2419"/>
      <c r="AI109" s="2419"/>
      <c r="AJ109" s="2419"/>
      <c r="AK109" s="2419"/>
      <c r="AL109" s="2419"/>
      <c r="AM109" s="2419"/>
      <c r="AN109" s="2419"/>
      <c r="AO109" s="2419"/>
      <c r="AP109" s="2419"/>
      <c r="AQ109" s="2419"/>
      <c r="AR109" s="2419"/>
      <c r="AS109" s="2419"/>
      <c r="AT109" s="2419"/>
      <c r="AU109" s="2419"/>
      <c r="AV109" s="2419"/>
      <c r="AW109" s="2419"/>
      <c r="AX109" s="2419"/>
      <c r="AY109" s="2419"/>
      <c r="AZ109" s="2419"/>
      <c r="BA109" s="2419"/>
      <c r="BB109" s="2419"/>
      <c r="BC109" s="2419"/>
      <c r="BD109" s="2419"/>
      <c r="BE109" s="2419"/>
      <c r="BF109" s="2419"/>
      <c r="BG109" s="2419"/>
      <c r="BH109" s="2419"/>
      <c r="BI109" s="2419"/>
      <c r="BJ109" s="2419"/>
      <c r="BK109" s="2419"/>
      <c r="BL109" s="2419"/>
    </row>
    <row r="110" spans="1:64" s="2531" customFormat="1" ht="96">
      <c r="A110" s="1367">
        <v>2</v>
      </c>
      <c r="B110" s="1455">
        <v>6</v>
      </c>
      <c r="C110" s="1455">
        <v>12</v>
      </c>
      <c r="D110" s="1455">
        <v>6.1</v>
      </c>
      <c r="E110" s="1380" t="s">
        <v>2862</v>
      </c>
      <c r="F110" s="1455"/>
      <c r="G110" s="1455"/>
      <c r="H110" s="1455"/>
      <c r="I110" s="1455"/>
      <c r="J110" s="1455"/>
      <c r="K110" s="1455"/>
      <c r="L110" s="1455"/>
      <c r="M110" s="1455"/>
      <c r="N110" s="2585"/>
      <c r="O110" s="1455"/>
      <c r="P110" s="1455"/>
      <c r="Q110" s="1455"/>
      <c r="R110" s="1455"/>
      <c r="S110" s="1455"/>
      <c r="T110" s="1455"/>
      <c r="U110" s="1455"/>
      <c r="V110" s="1455"/>
      <c r="W110" s="1455"/>
      <c r="X110" s="1455"/>
      <c r="Y110" s="1455"/>
      <c r="Z110" s="1455"/>
      <c r="AA110" s="1455"/>
      <c r="AB110" s="1455"/>
      <c r="AC110" s="2419"/>
      <c r="AD110" s="2419"/>
      <c r="AE110" s="2419"/>
      <c r="AF110" s="2419"/>
      <c r="AG110" s="2419"/>
      <c r="AH110" s="2419"/>
      <c r="AI110" s="2419"/>
      <c r="AJ110" s="2419"/>
      <c r="AK110" s="2419"/>
      <c r="AL110" s="2419"/>
      <c r="AM110" s="2419"/>
      <c r="AN110" s="2419"/>
      <c r="AO110" s="2419"/>
      <c r="AP110" s="2419"/>
      <c r="AQ110" s="2419"/>
      <c r="AR110" s="2419"/>
      <c r="AS110" s="2419"/>
      <c r="AT110" s="2419"/>
      <c r="AU110" s="2419"/>
      <c r="AV110" s="2419"/>
      <c r="AW110" s="2419"/>
      <c r="AX110" s="2419"/>
      <c r="AY110" s="2419"/>
      <c r="AZ110" s="2419"/>
      <c r="BA110" s="2419"/>
      <c r="BB110" s="2419"/>
      <c r="BC110" s="2419"/>
      <c r="BD110" s="2419"/>
      <c r="BE110" s="2419"/>
      <c r="BF110" s="2419"/>
      <c r="BG110" s="2419"/>
      <c r="BH110" s="2419"/>
      <c r="BI110" s="2419"/>
      <c r="BJ110" s="2419"/>
      <c r="BK110" s="2419"/>
      <c r="BL110" s="2419"/>
    </row>
    <row r="111" spans="1:64" ht="157.5" customHeight="1">
      <c r="A111" s="2232"/>
      <c r="B111" s="2232"/>
      <c r="C111" s="2232"/>
      <c r="D111" s="2532"/>
      <c r="E111" s="439" t="s">
        <v>2863</v>
      </c>
      <c r="F111" s="2533" t="s">
        <v>2864</v>
      </c>
      <c r="G111" s="1018" t="s">
        <v>2865</v>
      </c>
      <c r="H111" s="2533" t="s">
        <v>1734</v>
      </c>
      <c r="I111" s="2533" t="s">
        <v>1734</v>
      </c>
      <c r="J111" s="2533" t="s">
        <v>978</v>
      </c>
      <c r="K111" s="2533" t="s">
        <v>1734</v>
      </c>
      <c r="L111" s="1011" t="s">
        <v>2866</v>
      </c>
      <c r="M111" s="1013">
        <v>2625</v>
      </c>
      <c r="N111" s="1013"/>
      <c r="O111" s="2227"/>
      <c r="P111" s="2227"/>
      <c r="Q111" s="2425"/>
      <c r="R111" s="1013"/>
      <c r="S111" s="1013">
        <v>875</v>
      </c>
      <c r="U111" s="2227"/>
      <c r="V111" s="2534">
        <v>875</v>
      </c>
      <c r="W111" s="2227"/>
      <c r="X111" s="1013"/>
      <c r="Y111" s="1013">
        <v>875</v>
      </c>
      <c r="AA111" s="950" t="s">
        <v>2867</v>
      </c>
      <c r="AB111" s="974" t="s">
        <v>2634</v>
      </c>
    </row>
    <row r="112" spans="1:64" s="2504" customFormat="1" ht="86.25" customHeight="1">
      <c r="A112" s="2535"/>
      <c r="B112" s="2535"/>
      <c r="C112" s="2535"/>
      <c r="D112" s="2536"/>
      <c r="E112" s="3267" t="s">
        <v>2868</v>
      </c>
      <c r="F112" s="3263" t="s">
        <v>2869</v>
      </c>
      <c r="G112" s="3265" t="s">
        <v>2870</v>
      </c>
      <c r="H112" s="3275" t="s">
        <v>1734</v>
      </c>
      <c r="I112" s="3275" t="s">
        <v>1734</v>
      </c>
      <c r="J112" s="3275" t="s">
        <v>1734</v>
      </c>
      <c r="K112" s="3275" t="s">
        <v>1734</v>
      </c>
      <c r="L112" s="2537" t="s">
        <v>2871</v>
      </c>
      <c r="M112" s="2538"/>
      <c r="N112" s="2538"/>
      <c r="O112" s="2538"/>
      <c r="P112" s="2538"/>
      <c r="Q112" s="2538"/>
      <c r="R112" s="2538"/>
      <c r="S112" s="2538"/>
      <c r="T112" s="2538"/>
      <c r="U112" s="2538"/>
      <c r="V112" s="2538"/>
      <c r="W112" s="2538"/>
      <c r="X112" s="2538"/>
      <c r="Y112" s="2535"/>
      <c r="Z112" s="2538"/>
      <c r="AA112" s="2539" t="s">
        <v>2872</v>
      </c>
      <c r="AB112" s="2540" t="s">
        <v>2634</v>
      </c>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row>
    <row r="113" spans="1:64" s="2504" customFormat="1" ht="33" customHeight="1">
      <c r="A113" s="2541"/>
      <c r="B113" s="2541"/>
      <c r="C113" s="2541"/>
      <c r="D113" s="2542"/>
      <c r="E113" s="3268"/>
      <c r="F113" s="3270"/>
      <c r="G113" s="3271"/>
      <c r="H113" s="3276"/>
      <c r="I113" s="3276"/>
      <c r="J113" s="3276"/>
      <c r="K113" s="3276"/>
      <c r="L113" s="2525" t="s">
        <v>2873</v>
      </c>
      <c r="M113" s="2538">
        <v>6300</v>
      </c>
      <c r="N113" s="2538"/>
      <c r="O113" s="2538"/>
      <c r="P113" s="2538">
        <v>2100</v>
      </c>
      <c r="Q113" s="2538"/>
      <c r="R113" s="2538"/>
      <c r="S113" s="2538"/>
      <c r="T113" s="2538"/>
      <c r="U113" s="2538"/>
      <c r="V113" s="2538">
        <v>2100</v>
      </c>
      <c r="W113" s="2538"/>
      <c r="X113" s="2538">
        <v>2100</v>
      </c>
      <c r="Y113" s="2449"/>
      <c r="Z113" s="2538"/>
      <c r="AA113" s="2539"/>
      <c r="AB113" s="2540"/>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row>
    <row r="114" spans="1:64" s="2545" customFormat="1" ht="52.5" customHeight="1">
      <c r="A114" s="2543"/>
      <c r="B114" s="2543"/>
      <c r="C114" s="2543"/>
      <c r="D114" s="2544"/>
      <c r="E114" s="3269"/>
      <c r="F114" s="3264"/>
      <c r="G114" s="3266"/>
      <c r="H114" s="3277"/>
      <c r="I114" s="3277"/>
      <c r="J114" s="3277"/>
      <c r="K114" s="3277"/>
      <c r="L114" s="2525" t="s">
        <v>2874</v>
      </c>
      <c r="M114" s="2227">
        <v>4500</v>
      </c>
      <c r="N114" s="2227"/>
      <c r="O114" s="2227"/>
      <c r="P114" s="2227">
        <v>1500</v>
      </c>
      <c r="Q114" s="2227"/>
      <c r="R114" s="2227"/>
      <c r="S114" s="2227"/>
      <c r="T114" s="2227"/>
      <c r="U114" s="2227"/>
      <c r="V114" s="2227">
        <v>1500</v>
      </c>
      <c r="W114" s="2227"/>
      <c r="X114" s="2227">
        <v>1500</v>
      </c>
      <c r="Y114" s="2227"/>
      <c r="Z114" s="2227"/>
      <c r="AA114" s="2539"/>
      <c r="AB114" s="2540"/>
    </row>
    <row r="115" spans="1:64" ht="120">
      <c r="A115" s="2496"/>
      <c r="B115" s="2496"/>
      <c r="C115" s="2496"/>
      <c r="D115" s="2546"/>
      <c r="E115" s="2537" t="s">
        <v>2875</v>
      </c>
      <c r="F115" s="2537" t="s">
        <v>2876</v>
      </c>
      <c r="G115" s="2537" t="s">
        <v>2877</v>
      </c>
      <c r="H115" s="2547" t="s">
        <v>1734</v>
      </c>
      <c r="I115" s="2547" t="s">
        <v>1734</v>
      </c>
      <c r="J115" s="2547" t="s">
        <v>1734</v>
      </c>
      <c r="K115" s="2547" t="s">
        <v>1734</v>
      </c>
      <c r="L115" s="2524" t="s">
        <v>2878</v>
      </c>
      <c r="M115" s="2548"/>
      <c r="N115" s="2548"/>
      <c r="O115" s="2548"/>
      <c r="P115" s="2548"/>
      <c r="Q115" s="2548"/>
      <c r="R115" s="2548"/>
      <c r="S115" s="2548"/>
      <c r="T115" s="2548"/>
      <c r="U115" s="2548"/>
      <c r="V115" s="2548"/>
      <c r="W115" s="2548"/>
      <c r="X115" s="2548"/>
      <c r="Y115" s="2548"/>
      <c r="Z115" s="2548"/>
      <c r="AA115" s="3278" t="s">
        <v>2879</v>
      </c>
      <c r="AB115" s="3279" t="s">
        <v>2634</v>
      </c>
    </row>
    <row r="116" spans="1:64" ht="79.5" customHeight="1">
      <c r="A116" s="2549"/>
      <c r="B116" s="2549"/>
      <c r="C116" s="2549"/>
      <c r="D116" s="2497"/>
      <c r="E116" s="2537"/>
      <c r="F116" s="2537"/>
      <c r="G116" s="2537"/>
      <c r="H116" s="2547"/>
      <c r="I116" s="2547"/>
      <c r="J116" s="2547"/>
      <c r="K116" s="2547"/>
      <c r="L116" s="2550" t="s">
        <v>2874</v>
      </c>
      <c r="M116" s="2227">
        <v>4500</v>
      </c>
      <c r="N116" s="2227"/>
      <c r="O116" s="2227"/>
      <c r="P116" s="2227">
        <v>1500</v>
      </c>
      <c r="Q116" s="2227"/>
      <c r="R116" s="2227"/>
      <c r="S116" s="2227">
        <v>1500</v>
      </c>
      <c r="T116" s="2227"/>
      <c r="U116" s="2227"/>
      <c r="V116" s="2227"/>
      <c r="W116" s="2227"/>
      <c r="X116" s="2227">
        <v>1500</v>
      </c>
      <c r="Y116" s="2227"/>
      <c r="Z116" s="2227"/>
      <c r="AA116" s="3278"/>
      <c r="AB116" s="3279"/>
    </row>
    <row r="117" spans="1:64" s="72" customFormat="1" ht="48">
      <c r="D117" s="973"/>
      <c r="E117" s="2525"/>
      <c r="F117" s="2525"/>
      <c r="G117" s="2525"/>
      <c r="H117" s="2551"/>
      <c r="I117" s="2551"/>
      <c r="J117" s="2551"/>
      <c r="K117" s="2551"/>
      <c r="L117" s="2525" t="s">
        <v>2880</v>
      </c>
      <c r="M117" s="2227">
        <v>6300</v>
      </c>
      <c r="N117" s="2227"/>
      <c r="O117" s="2227"/>
      <c r="P117" s="2227">
        <v>2100</v>
      </c>
      <c r="Q117" s="2227"/>
      <c r="R117" s="2227"/>
      <c r="S117" s="2227">
        <v>2100</v>
      </c>
      <c r="T117" s="2227"/>
      <c r="U117" s="2227"/>
      <c r="V117" s="2227"/>
      <c r="W117" s="2227"/>
      <c r="X117" s="2227">
        <v>2100</v>
      </c>
      <c r="Y117" s="2227"/>
      <c r="Z117" s="2227"/>
      <c r="AA117" s="3278"/>
      <c r="AB117" s="3279"/>
      <c r="AC117" s="2552"/>
    </row>
    <row r="118" spans="1:64" ht="137.25" customHeight="1">
      <c r="A118" s="3259"/>
      <c r="B118" s="3259"/>
      <c r="C118" s="3259"/>
      <c r="D118" s="3261"/>
      <c r="E118" s="3222" t="s">
        <v>2881</v>
      </c>
      <c r="F118" s="3263" t="s">
        <v>2882</v>
      </c>
      <c r="G118" s="3265" t="s">
        <v>2883</v>
      </c>
      <c r="H118" s="3217" t="s">
        <v>1734</v>
      </c>
      <c r="I118" s="3239"/>
      <c r="J118" s="3239"/>
      <c r="K118" s="3217" t="s">
        <v>1734</v>
      </c>
      <c r="L118" s="2445" t="s">
        <v>2884</v>
      </c>
      <c r="M118" s="1016">
        <v>2500</v>
      </c>
      <c r="N118" s="1016"/>
      <c r="O118" s="2553"/>
      <c r="P118" s="2554">
        <v>1250</v>
      </c>
      <c r="Q118" s="2554"/>
      <c r="R118" s="2555"/>
      <c r="S118" s="2555"/>
      <c r="T118" s="2555"/>
      <c r="U118" s="2553"/>
      <c r="V118" s="2553"/>
      <c r="W118" s="2553"/>
      <c r="X118" s="2556">
        <v>1250</v>
      </c>
      <c r="Y118" s="1016"/>
      <c r="Z118" s="2555"/>
      <c r="AA118" s="3273" t="s">
        <v>2879</v>
      </c>
      <c r="AB118" s="3274" t="s">
        <v>2634</v>
      </c>
    </row>
    <row r="119" spans="1:64" ht="48">
      <c r="A119" s="3260"/>
      <c r="B119" s="3260"/>
      <c r="C119" s="3260"/>
      <c r="D119" s="3262"/>
      <c r="E119" s="3223"/>
      <c r="F119" s="3264"/>
      <c r="G119" s="3266"/>
      <c r="H119" s="3272"/>
      <c r="I119" s="3240"/>
      <c r="J119" s="3240"/>
      <c r="K119" s="3272"/>
      <c r="L119" s="1011" t="s">
        <v>2885</v>
      </c>
      <c r="M119" s="1013">
        <v>3500</v>
      </c>
      <c r="N119" s="1013"/>
      <c r="O119" s="2227"/>
      <c r="P119" s="2227"/>
      <c r="Q119" s="2227">
        <v>1750</v>
      </c>
      <c r="R119" s="1013"/>
      <c r="S119" s="1013"/>
      <c r="T119" s="1013"/>
      <c r="U119" s="2227"/>
      <c r="V119" s="2227"/>
      <c r="W119" s="2227"/>
      <c r="X119" s="1013">
        <v>1750</v>
      </c>
      <c r="Y119" s="1013"/>
      <c r="Z119" s="2557"/>
      <c r="AA119" s="3273"/>
      <c r="AB119" s="3274"/>
    </row>
    <row r="120" spans="1:64" s="2425" customFormat="1" ht="84.75" customHeight="1">
      <c r="A120" s="2449"/>
      <c r="B120" s="2449"/>
      <c r="C120" s="2449"/>
      <c r="D120" s="2224"/>
      <c r="E120" s="2558" t="s">
        <v>2886</v>
      </c>
      <c r="F120" s="2559" t="s">
        <v>2887</v>
      </c>
      <c r="G120" s="2525"/>
      <c r="H120" s="2560"/>
      <c r="I120" s="2560"/>
      <c r="J120" s="2560"/>
      <c r="K120" s="2560"/>
      <c r="L120" s="2238"/>
      <c r="M120" s="2237"/>
      <c r="N120" s="2230"/>
      <c r="O120" s="2231"/>
      <c r="P120" s="2227"/>
      <c r="Q120" s="2227"/>
      <c r="R120" s="2231"/>
      <c r="S120" s="2231"/>
      <c r="T120" s="2227"/>
      <c r="U120" s="2231"/>
      <c r="V120" s="2231"/>
      <c r="W120" s="2227"/>
      <c r="X120" s="2227"/>
      <c r="Y120" s="2227"/>
      <c r="Z120" s="2561"/>
      <c r="AA120" s="2539" t="s">
        <v>2867</v>
      </c>
      <c r="AB120" s="3279" t="s">
        <v>2634</v>
      </c>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row>
    <row r="121" spans="1:64" s="2425" customFormat="1" ht="48" customHeight="1">
      <c r="A121" s="3280"/>
      <c r="B121" s="3280"/>
      <c r="C121" s="3280"/>
      <c r="D121" s="3282"/>
      <c r="E121" s="3284" t="s">
        <v>2888</v>
      </c>
      <c r="F121" s="3265" t="s">
        <v>2887</v>
      </c>
      <c r="G121" s="3265" t="s">
        <v>2889</v>
      </c>
      <c r="H121" s="3275" t="s">
        <v>1734</v>
      </c>
      <c r="I121" s="3275" t="s">
        <v>1734</v>
      </c>
      <c r="J121" s="3275"/>
      <c r="K121" s="3275" t="s">
        <v>1734</v>
      </c>
      <c r="L121" s="2238" t="s">
        <v>2890</v>
      </c>
      <c r="M121" s="2237">
        <v>1500</v>
      </c>
      <c r="N121" s="2237"/>
      <c r="O121" s="2231"/>
      <c r="P121" s="2227"/>
      <c r="Q121" s="2227">
        <v>500</v>
      </c>
      <c r="R121" s="2231">
        <v>500</v>
      </c>
      <c r="S121" s="2231"/>
      <c r="T121" s="2227"/>
      <c r="U121" s="2231"/>
      <c r="V121" s="2231"/>
      <c r="W121" s="2227"/>
      <c r="X121" s="2231">
        <v>500</v>
      </c>
      <c r="Y121" s="2227"/>
      <c r="Z121" s="2561"/>
      <c r="AA121" s="3278" t="s">
        <v>2867</v>
      </c>
      <c r="AB121" s="3279"/>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row>
    <row r="122" spans="1:64" s="2425" customFormat="1" ht="74.25" customHeight="1">
      <c r="A122" s="3281"/>
      <c r="B122" s="3281"/>
      <c r="C122" s="3281"/>
      <c r="D122" s="3283"/>
      <c r="E122" s="3285"/>
      <c r="F122" s="3266"/>
      <c r="G122" s="3266"/>
      <c r="H122" s="3277"/>
      <c r="I122" s="3277"/>
      <c r="J122" s="3277"/>
      <c r="K122" s="3277"/>
      <c r="L122" s="2525" t="s">
        <v>2891</v>
      </c>
      <c r="M122" s="2237">
        <v>2100</v>
      </c>
      <c r="N122" s="2237"/>
      <c r="O122" s="2231"/>
      <c r="P122" s="2227"/>
      <c r="Q122" s="2227">
        <v>700</v>
      </c>
      <c r="R122" s="2231">
        <v>700</v>
      </c>
      <c r="S122" s="2231"/>
      <c r="T122" s="2227"/>
      <c r="U122" s="2231"/>
      <c r="V122" s="2231"/>
      <c r="W122" s="2227"/>
      <c r="X122" s="2227">
        <v>700</v>
      </c>
      <c r="Y122" s="2227"/>
      <c r="Z122" s="2561"/>
      <c r="AA122" s="3278"/>
      <c r="AB122" s="3279"/>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row>
    <row r="123" spans="1:64" s="2504" customFormat="1" ht="63.75" customHeight="1">
      <c r="A123" s="3280"/>
      <c r="B123" s="3280"/>
      <c r="C123" s="3280"/>
      <c r="D123" s="3282"/>
      <c r="E123" s="3284" t="s">
        <v>2892</v>
      </c>
      <c r="F123" s="3265" t="s">
        <v>2887</v>
      </c>
      <c r="G123" s="3265" t="s">
        <v>2893</v>
      </c>
      <c r="H123" s="3275" t="s">
        <v>1734</v>
      </c>
      <c r="I123" s="3275" t="s">
        <v>1734</v>
      </c>
      <c r="J123" s="3275"/>
      <c r="K123" s="3275" t="s">
        <v>1734</v>
      </c>
      <c r="L123" s="2238" t="s">
        <v>2894</v>
      </c>
      <c r="M123" s="2237">
        <v>6000</v>
      </c>
      <c r="N123" s="2237"/>
      <c r="O123" s="2231"/>
      <c r="P123" s="2227"/>
      <c r="Q123" s="2227">
        <v>2000</v>
      </c>
      <c r="R123" s="2231">
        <v>2000</v>
      </c>
      <c r="S123" s="2231"/>
      <c r="T123" s="2227"/>
      <c r="U123" s="2231"/>
      <c r="V123" s="2231"/>
      <c r="W123" s="2227"/>
      <c r="X123" s="2227">
        <v>2000</v>
      </c>
      <c r="Y123" s="2227"/>
      <c r="Z123" s="2231"/>
      <c r="AA123" s="3278" t="s">
        <v>2895</v>
      </c>
      <c r="AB123" s="2562"/>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row>
    <row r="124" spans="1:64" s="2504" customFormat="1" ht="72" customHeight="1">
      <c r="A124" s="3281"/>
      <c r="B124" s="3281"/>
      <c r="C124" s="3281"/>
      <c r="D124" s="3283"/>
      <c r="E124" s="3285"/>
      <c r="F124" s="3266"/>
      <c r="G124" s="3266"/>
      <c r="H124" s="3277"/>
      <c r="I124" s="3277"/>
      <c r="J124" s="3277"/>
      <c r="K124" s="3277"/>
      <c r="L124" s="2525" t="s">
        <v>2896</v>
      </c>
      <c r="M124" s="2237">
        <v>8400</v>
      </c>
      <c r="N124" s="2237"/>
      <c r="O124" s="2227"/>
      <c r="P124" s="2231"/>
      <c r="Q124" s="2231">
        <v>2800</v>
      </c>
      <c r="R124" s="2231">
        <v>2800</v>
      </c>
      <c r="S124" s="2231"/>
      <c r="T124" s="2231"/>
      <c r="U124" s="2231"/>
      <c r="V124" s="2231"/>
      <c r="W124" s="2231"/>
      <c r="X124" s="2227"/>
      <c r="Y124" s="2231">
        <v>2800</v>
      </c>
      <c r="Z124" s="2231"/>
      <c r="AA124" s="3278"/>
      <c r="AB124" s="2562"/>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row>
    <row r="125" spans="1:64" ht="126.75" customHeight="1">
      <c r="A125" s="2563"/>
      <c r="B125" s="2564"/>
      <c r="C125" s="2564"/>
      <c r="D125" s="2228"/>
      <c r="E125" s="3284" t="s">
        <v>2897</v>
      </c>
      <c r="F125" s="3265" t="s">
        <v>2898</v>
      </c>
      <c r="G125" s="3265" t="s">
        <v>2899</v>
      </c>
      <c r="H125" s="3217" t="s">
        <v>1734</v>
      </c>
      <c r="I125" s="3217" t="s">
        <v>1734</v>
      </c>
      <c r="J125" s="2565"/>
      <c r="K125" s="3217"/>
      <c r="L125" s="2238" t="s">
        <v>2900</v>
      </c>
      <c r="M125" s="2515">
        <v>3000</v>
      </c>
      <c r="N125" s="2515"/>
      <c r="O125" s="2227"/>
      <c r="P125" s="2231"/>
      <c r="Q125" s="2231">
        <v>1500</v>
      </c>
      <c r="R125" s="1036">
        <v>1500</v>
      </c>
      <c r="S125" s="1036"/>
      <c r="T125" s="1036"/>
      <c r="U125" s="2231"/>
      <c r="V125" s="2231"/>
      <c r="W125" s="2231"/>
      <c r="X125" s="1013"/>
      <c r="Y125" s="1036"/>
      <c r="Z125" s="1036"/>
      <c r="AA125" s="3286" t="s">
        <v>2895</v>
      </c>
      <c r="AB125" s="2566"/>
    </row>
    <row r="126" spans="1:64" ht="56.25" customHeight="1">
      <c r="A126" s="2563"/>
      <c r="B126" s="2564"/>
      <c r="C126" s="2564"/>
      <c r="D126" s="2228"/>
      <c r="E126" s="3285"/>
      <c r="F126" s="3266"/>
      <c r="G126" s="3266"/>
      <c r="H126" s="3272"/>
      <c r="I126" s="3272"/>
      <c r="J126" s="2565"/>
      <c r="K126" s="3272"/>
      <c r="L126" s="2525" t="s">
        <v>2901</v>
      </c>
      <c r="M126" s="2515">
        <v>4200</v>
      </c>
      <c r="N126" s="2515"/>
      <c r="O126" s="2227"/>
      <c r="P126" s="2231"/>
      <c r="Q126" s="2231">
        <v>2100</v>
      </c>
      <c r="R126" s="1036">
        <v>2100</v>
      </c>
      <c r="S126" s="1036"/>
      <c r="T126" s="1036"/>
      <c r="U126" s="2231"/>
      <c r="V126" s="2231"/>
      <c r="W126" s="2231"/>
      <c r="X126" s="1013"/>
      <c r="Y126" s="1036"/>
      <c r="Z126" s="1036"/>
      <c r="AA126" s="3287"/>
      <c r="AB126" s="2566"/>
    </row>
    <row r="127" spans="1:64" ht="103.1" customHeight="1">
      <c r="A127" s="3288"/>
      <c r="B127" s="3259"/>
      <c r="C127" s="3259"/>
      <c r="D127" s="3239"/>
      <c r="E127" s="3222" t="s">
        <v>2902</v>
      </c>
      <c r="F127" s="3290" t="s">
        <v>2903</v>
      </c>
      <c r="G127" s="3263" t="s">
        <v>2904</v>
      </c>
      <c r="H127" s="3217" t="s">
        <v>1734</v>
      </c>
      <c r="I127" s="3263"/>
      <c r="J127" s="3239"/>
      <c r="K127" s="3217" t="s">
        <v>1734</v>
      </c>
      <c r="L127" s="1044" t="s">
        <v>2905</v>
      </c>
      <c r="M127" s="2515">
        <v>3000</v>
      </c>
      <c r="N127" s="2515"/>
      <c r="O127" s="2231"/>
      <c r="P127" s="2227">
        <v>1500</v>
      </c>
      <c r="Q127" s="2231">
        <v>0</v>
      </c>
      <c r="R127" s="1036"/>
      <c r="S127" s="1036"/>
      <c r="T127" s="1036"/>
      <c r="U127" s="2231"/>
      <c r="V127" s="2231"/>
      <c r="W127" s="2231"/>
      <c r="X127" s="1036"/>
      <c r="Y127" s="1013">
        <v>1500</v>
      </c>
      <c r="Z127" s="1036"/>
      <c r="AA127" s="2567" t="s">
        <v>2906</v>
      </c>
      <c r="AB127" s="3261" t="s">
        <v>2634</v>
      </c>
    </row>
    <row r="128" spans="1:64" ht="48">
      <c r="A128" s="3289"/>
      <c r="B128" s="3260"/>
      <c r="C128" s="3260"/>
      <c r="D128" s="3240"/>
      <c r="E128" s="3223"/>
      <c r="F128" s="3291"/>
      <c r="G128" s="3264"/>
      <c r="H128" s="3272"/>
      <c r="I128" s="3264"/>
      <c r="J128" s="3240"/>
      <c r="K128" s="3272"/>
      <c r="L128" s="1011" t="s">
        <v>2907</v>
      </c>
      <c r="M128" s="2515">
        <v>4200</v>
      </c>
      <c r="N128" s="2515"/>
      <c r="O128" s="2231"/>
      <c r="P128" s="2227">
        <v>2100</v>
      </c>
      <c r="Q128" s="2231"/>
      <c r="R128" s="1036"/>
      <c r="S128" s="1036"/>
      <c r="T128" s="1036"/>
      <c r="U128" s="2231"/>
      <c r="V128" s="2231"/>
      <c r="W128" s="2231"/>
      <c r="X128" s="1036"/>
      <c r="Y128" s="1013">
        <v>2100</v>
      </c>
      <c r="Z128" s="1036"/>
      <c r="AA128" s="2568"/>
      <c r="AB128" s="3262"/>
    </row>
    <row r="129" spans="1:64" s="2569" customFormat="1" ht="72">
      <c r="A129" s="2570"/>
      <c r="B129" s="2686"/>
      <c r="C129" s="2686"/>
      <c r="D129" s="2686">
        <v>6.2</v>
      </c>
      <c r="E129" s="2687" t="s">
        <v>2908</v>
      </c>
      <c r="F129" s="2686"/>
      <c r="G129" s="2686"/>
      <c r="H129" s="2686"/>
      <c r="I129" s="2686"/>
      <c r="J129" s="2686"/>
      <c r="K129" s="2686"/>
      <c r="L129" s="2686"/>
      <c r="M129" s="2688"/>
      <c r="N129" s="2689"/>
      <c r="O129" s="2686"/>
      <c r="P129" s="2686"/>
      <c r="Q129" s="2688"/>
      <c r="R129" s="2686"/>
      <c r="S129" s="2686"/>
      <c r="T129" s="2688"/>
      <c r="U129" s="2686"/>
      <c r="V129" s="2686"/>
      <c r="W129" s="2686"/>
      <c r="X129" s="2686"/>
      <c r="Y129" s="2686"/>
      <c r="Z129" s="2686"/>
      <c r="AA129" s="2686" t="s">
        <v>2909</v>
      </c>
      <c r="AB129" s="2686"/>
      <c r="AC129" s="2570"/>
      <c r="AD129" s="2570"/>
      <c r="AE129" s="2570"/>
      <c r="AF129" s="2570"/>
      <c r="AG129" s="2570"/>
      <c r="AH129" s="2570"/>
      <c r="AI129" s="2570"/>
      <c r="AJ129" s="2570"/>
      <c r="AK129" s="2570"/>
      <c r="AL129" s="2570"/>
      <c r="AM129" s="2570"/>
      <c r="AN129" s="2570"/>
      <c r="AO129" s="2570"/>
      <c r="AP129" s="2570"/>
      <c r="AQ129" s="2570"/>
      <c r="AR129" s="2570"/>
      <c r="AS129" s="2570"/>
      <c r="AT129" s="2570"/>
      <c r="AU129" s="2570"/>
      <c r="AV129" s="2570"/>
      <c r="AW129" s="2570"/>
      <c r="AX129" s="2570"/>
      <c r="AY129" s="2570"/>
      <c r="AZ129" s="2570"/>
      <c r="BA129" s="2570"/>
      <c r="BB129" s="2570"/>
      <c r="BC129" s="2570"/>
      <c r="BD129" s="2570"/>
      <c r="BE129" s="2570"/>
      <c r="BF129" s="2570"/>
      <c r="BG129" s="2570"/>
      <c r="BH129" s="2570"/>
      <c r="BI129" s="2570"/>
      <c r="BJ129" s="2570"/>
      <c r="BK129" s="2570"/>
      <c r="BL129" s="2570"/>
    </row>
    <row r="130" spans="1:64" s="2570" customFormat="1" ht="87" customHeight="1">
      <c r="A130" s="2690"/>
      <c r="B130" s="2691"/>
      <c r="C130" s="2691"/>
      <c r="D130" s="2428"/>
      <c r="E130" s="3267" t="s">
        <v>2910</v>
      </c>
      <c r="F130" s="3290"/>
      <c r="G130" s="3263" t="s">
        <v>2911</v>
      </c>
      <c r="H130" s="3292"/>
      <c r="I130" s="3217" t="s">
        <v>1734</v>
      </c>
      <c r="J130" s="3292"/>
      <c r="K130" s="3292"/>
      <c r="L130" s="1044" t="s">
        <v>2912</v>
      </c>
      <c r="M130" s="2692">
        <v>1000</v>
      </c>
      <c r="N130" s="2689"/>
      <c r="O130" s="2686"/>
      <c r="P130" s="72">
        <v>1000</v>
      </c>
      <c r="Q130" s="72"/>
      <c r="R130" s="2686"/>
      <c r="S130" s="2686"/>
      <c r="T130" s="2686"/>
      <c r="U130" s="2686"/>
      <c r="V130" s="2686"/>
      <c r="W130" s="2686"/>
      <c r="X130" s="2686"/>
      <c r="Y130" s="2689"/>
      <c r="Z130" s="2686"/>
      <c r="AA130" s="3294" t="s">
        <v>2913</v>
      </c>
      <c r="AB130" s="3261"/>
    </row>
    <row r="131" spans="1:64" s="2570" customFormat="1">
      <c r="A131" s="2690"/>
      <c r="B131" s="2432"/>
      <c r="C131" s="2432"/>
      <c r="D131" s="2432"/>
      <c r="E131" s="3269"/>
      <c r="F131" s="3291"/>
      <c r="G131" s="3264"/>
      <c r="H131" s="3293"/>
      <c r="I131" s="3272"/>
      <c r="J131" s="3293"/>
      <c r="K131" s="3293"/>
      <c r="L131" s="1011" t="s">
        <v>2914</v>
      </c>
      <c r="M131" s="2692">
        <v>1400</v>
      </c>
      <c r="N131" s="2689"/>
      <c r="O131" s="2686"/>
      <c r="P131" s="77">
        <v>1400</v>
      </c>
      <c r="Q131" s="77"/>
      <c r="R131" s="2686"/>
      <c r="S131" s="2686"/>
      <c r="T131" s="2686"/>
      <c r="U131" s="2686"/>
      <c r="V131" s="2686"/>
      <c r="W131" s="2686"/>
      <c r="X131" s="2686"/>
      <c r="Y131" s="2686"/>
      <c r="Z131" s="2686"/>
      <c r="AA131" s="3295"/>
      <c r="AB131" s="3296"/>
    </row>
    <row r="132" spans="1:64" s="2570" customFormat="1" ht="132" customHeight="1">
      <c r="A132" s="2690"/>
      <c r="B132" s="2693"/>
      <c r="C132" s="2693"/>
      <c r="D132" s="2694"/>
      <c r="E132" s="3222" t="s">
        <v>2915</v>
      </c>
      <c r="F132" s="3290" t="s">
        <v>2916</v>
      </c>
      <c r="G132" s="3263" t="s">
        <v>2917</v>
      </c>
      <c r="H132" s="3217" t="s">
        <v>1734</v>
      </c>
      <c r="I132" s="3217" t="s">
        <v>1734</v>
      </c>
      <c r="J132" s="3292"/>
      <c r="K132" s="3292"/>
      <c r="L132" s="2695" t="s">
        <v>2918</v>
      </c>
      <c r="M132" s="972">
        <v>1500</v>
      </c>
      <c r="N132" s="2600"/>
      <c r="O132" s="2686"/>
      <c r="P132" s="77">
        <v>1500</v>
      </c>
      <c r="Q132" s="77"/>
      <c r="R132" s="2686"/>
      <c r="S132" s="2686"/>
      <c r="T132" s="2686"/>
      <c r="U132" s="2686"/>
      <c r="V132" s="2686"/>
      <c r="W132" s="2686"/>
      <c r="X132" s="2686"/>
      <c r="Y132" s="2686"/>
      <c r="Z132" s="2686"/>
      <c r="AA132" s="2696"/>
      <c r="AB132" s="2566"/>
    </row>
    <row r="133" spans="1:64" s="2570" customFormat="1">
      <c r="A133" s="2690"/>
      <c r="B133" s="2693"/>
      <c r="C133" s="2693"/>
      <c r="D133" s="2694"/>
      <c r="E133" s="3297"/>
      <c r="F133" s="3298"/>
      <c r="G133" s="3270"/>
      <c r="H133" s="3218"/>
      <c r="I133" s="3218"/>
      <c r="J133" s="3299"/>
      <c r="K133" s="3299"/>
      <c r="L133" s="1011" t="s">
        <v>2919</v>
      </c>
      <c r="M133" s="972">
        <v>2100</v>
      </c>
      <c r="N133" s="2689"/>
      <c r="O133" s="2686"/>
      <c r="P133" s="77">
        <v>2100</v>
      </c>
      <c r="Q133" s="77"/>
      <c r="R133" s="2686"/>
      <c r="S133" s="2686"/>
      <c r="T133" s="2686"/>
      <c r="U133" s="2686"/>
      <c r="V133" s="2686"/>
      <c r="W133" s="2686"/>
      <c r="X133" s="2686"/>
      <c r="Y133" s="2686"/>
      <c r="Z133" s="2686"/>
      <c r="AA133" s="2696"/>
      <c r="AB133" s="2566"/>
    </row>
    <row r="134" spans="1:64" s="2570" customFormat="1">
      <c r="A134" s="2690"/>
      <c r="B134" s="2693"/>
      <c r="C134" s="2693"/>
      <c r="D134" s="2694"/>
      <c r="E134" s="3223"/>
      <c r="F134" s="3291"/>
      <c r="G134" s="2697"/>
      <c r="H134" s="3272"/>
      <c r="I134" s="3272"/>
      <c r="J134" s="3293"/>
      <c r="K134" s="3293"/>
      <c r="L134" s="1011" t="s">
        <v>2920</v>
      </c>
      <c r="M134" s="972">
        <v>3600</v>
      </c>
      <c r="N134" s="2689"/>
      <c r="O134" s="2686"/>
      <c r="P134" s="77">
        <v>3600</v>
      </c>
      <c r="Q134" s="77"/>
      <c r="R134" s="2686"/>
      <c r="S134" s="2686"/>
      <c r="T134" s="2686"/>
      <c r="U134" s="2686"/>
      <c r="V134" s="2686"/>
      <c r="W134" s="2686"/>
      <c r="X134" s="2686"/>
      <c r="Y134" s="2686"/>
      <c r="Z134" s="2686"/>
      <c r="AA134" s="2696"/>
      <c r="AB134" s="2566"/>
    </row>
    <row r="135" spans="1:64" s="2514" customFormat="1" ht="60.75" customHeight="1">
      <c r="A135" s="2698"/>
      <c r="B135" s="2698"/>
      <c r="C135" s="2698"/>
      <c r="D135" s="2699"/>
      <c r="E135" s="2604" t="s">
        <v>2921</v>
      </c>
      <c r="F135" s="1018" t="s">
        <v>2922</v>
      </c>
      <c r="G135" s="1018" t="s">
        <v>2923</v>
      </c>
      <c r="H135" s="3218"/>
      <c r="I135" s="3218"/>
      <c r="J135" s="3218"/>
      <c r="K135" s="3218"/>
      <c r="L135" s="1011" t="s">
        <v>2924</v>
      </c>
      <c r="M135" s="972">
        <v>6720</v>
      </c>
      <c r="N135" s="972"/>
      <c r="O135" s="1013"/>
      <c r="P135" s="1013"/>
      <c r="Q135" s="2700"/>
      <c r="R135" s="2595"/>
      <c r="S135" s="1013"/>
      <c r="T135" s="1013"/>
      <c r="U135" s="1013"/>
      <c r="V135" s="1013"/>
      <c r="W135" s="1013">
        <v>6720</v>
      </c>
      <c r="X135" s="72"/>
      <c r="Y135" s="72"/>
      <c r="Z135" s="1013"/>
      <c r="AA135" s="950"/>
      <c r="AB135" s="974"/>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row>
    <row r="136" spans="1:64" s="2514" customFormat="1" ht="60.75" customHeight="1">
      <c r="A136" s="2698"/>
      <c r="B136" s="2698"/>
      <c r="C136" s="2698"/>
      <c r="D136" s="2699"/>
      <c r="E136" s="1044"/>
      <c r="F136" s="2701"/>
      <c r="G136" s="1011"/>
      <c r="H136" s="3272"/>
      <c r="I136" s="3272"/>
      <c r="J136" s="3272"/>
      <c r="K136" s="3272"/>
      <c r="L136" s="1044" t="s">
        <v>2925</v>
      </c>
      <c r="M136" s="972">
        <v>1040</v>
      </c>
      <c r="N136" s="972"/>
      <c r="O136" s="1013"/>
      <c r="P136" s="1013"/>
      <c r="Q136" s="2595"/>
      <c r="R136" s="2595"/>
      <c r="S136" s="1013"/>
      <c r="T136" s="1013"/>
      <c r="U136" s="1013"/>
      <c r="V136" s="1013">
        <v>1040</v>
      </c>
      <c r="W136" s="1013"/>
      <c r="X136" s="72"/>
      <c r="Y136" s="72"/>
      <c r="Z136" s="1013"/>
      <c r="AA136" s="950"/>
      <c r="AB136" s="974"/>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row>
    <row r="137" spans="1:64" s="2514" customFormat="1" ht="52.5" customHeight="1">
      <c r="A137" s="2702"/>
      <c r="B137" s="2702"/>
      <c r="C137" s="2702"/>
      <c r="D137" s="2566"/>
      <c r="E137" s="3222" t="s">
        <v>2926</v>
      </c>
      <c r="F137" s="3222" t="s">
        <v>2927</v>
      </c>
      <c r="G137" s="3263" t="s">
        <v>2928</v>
      </c>
      <c r="H137" s="3217" t="s">
        <v>1734</v>
      </c>
      <c r="I137" s="3217"/>
      <c r="J137" s="3217"/>
      <c r="K137" s="3217" t="s">
        <v>1734</v>
      </c>
      <c r="L137" s="1044" t="s">
        <v>2929</v>
      </c>
      <c r="M137" s="2703"/>
      <c r="N137" s="2703"/>
      <c r="O137" s="1020"/>
      <c r="P137" s="1020"/>
      <c r="Q137" s="2704"/>
      <c r="R137" s="2704"/>
      <c r="S137" s="1020"/>
      <c r="T137" s="1020"/>
      <c r="U137" s="1020"/>
      <c r="V137" s="1020"/>
      <c r="W137" s="1020"/>
      <c r="X137" s="1020"/>
      <c r="Y137" s="1020"/>
      <c r="Z137" s="1020"/>
      <c r="AA137" s="3294" t="s">
        <v>2930</v>
      </c>
      <c r="AB137" s="974" t="s">
        <v>2634</v>
      </c>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row>
    <row r="138" spans="1:64" s="2514" customFormat="1" ht="31.5" customHeight="1">
      <c r="A138" s="2702"/>
      <c r="B138" s="2702"/>
      <c r="C138" s="2702"/>
      <c r="D138" s="2566"/>
      <c r="E138" s="3297"/>
      <c r="F138" s="3297"/>
      <c r="G138" s="3270"/>
      <c r="H138" s="3218"/>
      <c r="I138" s="3218"/>
      <c r="J138" s="3218"/>
      <c r="K138" s="3218"/>
      <c r="L138" s="1011" t="s">
        <v>2931</v>
      </c>
      <c r="M138" s="2703"/>
      <c r="N138" s="2703"/>
      <c r="O138" s="1020"/>
      <c r="P138" s="1020"/>
      <c r="Q138" s="2704"/>
      <c r="R138" s="2704"/>
      <c r="S138" s="1020"/>
      <c r="T138" s="1020"/>
      <c r="U138" s="1020"/>
      <c r="V138" s="1020"/>
      <c r="W138" s="1020"/>
      <c r="X138" s="1020"/>
      <c r="Y138" s="1020"/>
      <c r="Z138" s="1020"/>
      <c r="AA138" s="3300"/>
      <c r="AB138" s="2532"/>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row>
    <row r="139" spans="1:64" s="2514" customFormat="1" ht="63" customHeight="1">
      <c r="A139" s="2702"/>
      <c r="B139" s="2702"/>
      <c r="C139" s="2702"/>
      <c r="D139" s="2566"/>
      <c r="E139" s="3223"/>
      <c r="F139" s="3223"/>
      <c r="G139" s="3264"/>
      <c r="H139" s="3272"/>
      <c r="I139" s="3272"/>
      <c r="J139" s="3272"/>
      <c r="K139" s="3272"/>
      <c r="L139" s="1011" t="s">
        <v>2932</v>
      </c>
      <c r="M139" s="2703">
        <v>2400</v>
      </c>
      <c r="N139" s="2703"/>
      <c r="O139" s="1020"/>
      <c r="P139" s="1020"/>
      <c r="Q139" s="2704">
        <v>2400</v>
      </c>
      <c r="R139" s="2704"/>
      <c r="S139" s="1020"/>
      <c r="T139" s="1020"/>
      <c r="U139" s="1020"/>
      <c r="V139" s="1020"/>
      <c r="W139" s="1020"/>
      <c r="X139" s="1020"/>
      <c r="Y139" s="1020"/>
      <c r="Z139" s="1020"/>
      <c r="AA139" s="3295"/>
      <c r="AB139" s="2532"/>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row>
    <row r="140" spans="1:64" ht="54" customHeight="1">
      <c r="A140" s="2549"/>
      <c r="B140" s="2549"/>
      <c r="C140" s="2549"/>
      <c r="D140" s="2497"/>
      <c r="E140" s="3222" t="s">
        <v>2933</v>
      </c>
      <c r="F140" s="3290" t="s">
        <v>2934</v>
      </c>
      <c r="G140" s="3263" t="s">
        <v>2889</v>
      </c>
      <c r="H140" s="3217"/>
      <c r="I140" s="3217" t="s">
        <v>1734</v>
      </c>
      <c r="J140" s="3217"/>
      <c r="K140" s="3217" t="s">
        <v>1734</v>
      </c>
      <c r="L140" s="996" t="s">
        <v>2935</v>
      </c>
      <c r="M140" s="2703">
        <v>1000</v>
      </c>
      <c r="N140" s="2703"/>
      <c r="O140" s="2518"/>
      <c r="P140" s="2518"/>
      <c r="Q140" s="1020">
        <v>500</v>
      </c>
      <c r="R140" s="2518"/>
      <c r="S140" s="2518"/>
      <c r="T140" s="1020"/>
      <c r="U140" s="2518"/>
      <c r="V140" s="2518"/>
      <c r="W140" s="1020"/>
      <c r="X140" s="1020">
        <v>500</v>
      </c>
      <c r="Y140" s="2518"/>
      <c r="Z140" s="2518"/>
      <c r="AA140" s="2705"/>
      <c r="AB140" s="2532"/>
    </row>
    <row r="141" spans="1:64" ht="33" customHeight="1">
      <c r="A141" s="2549"/>
      <c r="B141" s="2549"/>
      <c r="C141" s="2549"/>
      <c r="D141" s="2497"/>
      <c r="E141" s="3223"/>
      <c r="F141" s="3291"/>
      <c r="G141" s="3264"/>
      <c r="H141" s="3272"/>
      <c r="I141" s="3272"/>
      <c r="J141" s="3272"/>
      <c r="K141" s="3272"/>
      <c r="L141" s="996" t="s">
        <v>2936</v>
      </c>
      <c r="M141" s="2703">
        <v>1400</v>
      </c>
      <c r="N141" s="2703"/>
      <c r="O141" s="2518"/>
      <c r="P141" s="2518"/>
      <c r="Q141" s="1020">
        <v>700</v>
      </c>
      <c r="R141" s="2518"/>
      <c r="S141" s="2518"/>
      <c r="T141" s="1020"/>
      <c r="U141" s="2518"/>
      <c r="V141" s="2518"/>
      <c r="W141" s="1020"/>
      <c r="X141" s="1020">
        <v>700</v>
      </c>
      <c r="Y141" s="2518"/>
      <c r="Z141" s="2518"/>
      <c r="AA141" s="2705"/>
      <c r="AB141" s="2532"/>
    </row>
    <row r="142" spans="1:64" ht="91.5" customHeight="1">
      <c r="A142" s="2702"/>
      <c r="B142" s="2702"/>
      <c r="C142" s="2702"/>
      <c r="D142" s="2566"/>
      <c r="E142" s="2706" t="s">
        <v>2937</v>
      </c>
      <c r="F142" s="1026"/>
      <c r="G142" s="2668"/>
      <c r="H142" s="2707"/>
      <c r="I142" s="2707"/>
      <c r="J142" s="2707" t="s">
        <v>1734</v>
      </c>
      <c r="K142" s="2707" t="s">
        <v>1734</v>
      </c>
      <c r="L142" s="1018" t="s">
        <v>2938</v>
      </c>
      <c r="M142" s="2703"/>
      <c r="N142" s="2703"/>
      <c r="O142" s="1020"/>
      <c r="P142" s="1020"/>
      <c r="Q142" s="2704"/>
      <c r="R142" s="2704"/>
      <c r="S142" s="1020"/>
      <c r="T142" s="1020"/>
      <c r="U142" s="1020"/>
      <c r="V142" s="1020"/>
      <c r="W142" s="1020"/>
      <c r="X142" s="1020"/>
      <c r="Y142" s="1020"/>
      <c r="Z142" s="1020"/>
      <c r="AA142" s="2705"/>
      <c r="AB142" s="2532"/>
    </row>
    <row r="143" spans="1:64" s="2531" customFormat="1" ht="43.5" customHeight="1">
      <c r="A143" s="2691"/>
      <c r="B143" s="2691"/>
      <c r="C143" s="2691"/>
      <c r="D143" s="2536">
        <v>6.3</v>
      </c>
      <c r="E143" s="2708" t="s">
        <v>2939</v>
      </c>
      <c r="F143" s="2709"/>
      <c r="G143" s="2710"/>
      <c r="H143" s="1468"/>
      <c r="I143" s="1468"/>
      <c r="J143" s="1468"/>
      <c r="K143" s="1468"/>
      <c r="L143" s="2709"/>
      <c r="M143" s="2607"/>
      <c r="N143" s="2607"/>
      <c r="O143" s="2711"/>
      <c r="P143" s="2711"/>
      <c r="Q143" s="2712"/>
      <c r="R143" s="2711"/>
      <c r="S143" s="2711"/>
      <c r="T143" s="2712"/>
      <c r="U143" s="2711"/>
      <c r="V143" s="2711"/>
      <c r="W143" s="2712"/>
      <c r="X143" s="2712"/>
      <c r="Y143" s="2711"/>
      <c r="Z143" s="2711"/>
      <c r="AA143" s="2705"/>
      <c r="AB143" s="2532"/>
      <c r="AC143" s="2419"/>
      <c r="AD143" s="2419"/>
      <c r="AE143" s="2419"/>
      <c r="AF143" s="2419"/>
      <c r="AG143" s="2419"/>
      <c r="AH143" s="2419"/>
      <c r="AI143" s="2419"/>
      <c r="AJ143" s="2419"/>
      <c r="AK143" s="2419"/>
      <c r="AL143" s="2419"/>
      <c r="AM143" s="2419"/>
      <c r="AN143" s="2419"/>
      <c r="AO143" s="2419"/>
      <c r="AP143" s="2419"/>
      <c r="AQ143" s="2419"/>
      <c r="AR143" s="2419"/>
      <c r="AS143" s="2419"/>
      <c r="AT143" s="2419"/>
      <c r="AU143" s="2419"/>
      <c r="AV143" s="2419"/>
      <c r="AW143" s="2419"/>
      <c r="AX143" s="2419"/>
      <c r="AY143" s="2419"/>
      <c r="AZ143" s="2419"/>
      <c r="BA143" s="2419"/>
      <c r="BB143" s="2419"/>
      <c r="BC143" s="2419"/>
      <c r="BD143" s="2419"/>
      <c r="BE143" s="2419"/>
      <c r="BF143" s="2419"/>
      <c r="BG143" s="2419"/>
      <c r="BH143" s="2419"/>
      <c r="BI143" s="2419"/>
      <c r="BJ143" s="2419"/>
      <c r="BK143" s="2419"/>
      <c r="BL143" s="2419"/>
    </row>
    <row r="144" spans="1:64" ht="54" customHeight="1">
      <c r="A144" s="2549"/>
      <c r="B144" s="2549"/>
      <c r="C144" s="2549"/>
      <c r="D144" s="2497"/>
      <c r="E144" s="3222" t="s">
        <v>2940</v>
      </c>
      <c r="F144" s="3290" t="s">
        <v>2934</v>
      </c>
      <c r="G144" s="3263" t="s">
        <v>2889</v>
      </c>
      <c r="H144" s="3217"/>
      <c r="I144" s="3217" t="s">
        <v>1734</v>
      </c>
      <c r="J144" s="3217"/>
      <c r="K144" s="3217" t="s">
        <v>1734</v>
      </c>
      <c r="L144" s="996" t="s">
        <v>2941</v>
      </c>
      <c r="M144" s="2703">
        <v>1500</v>
      </c>
      <c r="N144" s="2703"/>
      <c r="O144" s="2518"/>
      <c r="P144" s="2518"/>
      <c r="Q144" s="1020"/>
      <c r="R144" s="2518"/>
      <c r="S144" s="2518"/>
      <c r="T144" s="1020"/>
      <c r="U144" s="2518"/>
      <c r="V144" s="2518">
        <v>750</v>
      </c>
      <c r="W144" s="1020"/>
      <c r="Y144" s="1020"/>
      <c r="Z144" s="1020">
        <v>750</v>
      </c>
      <c r="AA144" s="2705"/>
      <c r="AB144" s="2532"/>
    </row>
    <row r="145" spans="1:64" ht="33" customHeight="1">
      <c r="A145" s="2549"/>
      <c r="B145" s="2549"/>
      <c r="C145" s="2549"/>
      <c r="D145" s="2497"/>
      <c r="E145" s="3223"/>
      <c r="F145" s="3291"/>
      <c r="G145" s="3264"/>
      <c r="H145" s="3272"/>
      <c r="I145" s="3272"/>
      <c r="J145" s="3272"/>
      <c r="K145" s="3272"/>
      <c r="L145" s="996" t="s">
        <v>2942</v>
      </c>
      <c r="M145" s="2703">
        <v>2100</v>
      </c>
      <c r="N145" s="2703"/>
      <c r="O145" s="2518"/>
      <c r="P145" s="2518"/>
      <c r="Q145" s="1020"/>
      <c r="R145" s="2518"/>
      <c r="S145" s="2518"/>
      <c r="T145" s="1020"/>
      <c r="U145" s="2518"/>
      <c r="V145" s="2518">
        <v>1050</v>
      </c>
      <c r="W145" s="1020"/>
      <c r="Y145" s="1020"/>
      <c r="Z145" s="1020">
        <v>1050</v>
      </c>
      <c r="AA145" s="2705"/>
      <c r="AB145" s="2532"/>
    </row>
    <row r="146" spans="1:64" ht="58.1" customHeight="1">
      <c r="A146" s="2549"/>
      <c r="B146" s="2549"/>
      <c r="C146" s="2549"/>
      <c r="D146" s="2497"/>
      <c r="E146" s="3222" t="s">
        <v>2943</v>
      </c>
      <c r="F146" s="3290"/>
      <c r="G146" s="3263" t="s">
        <v>2904</v>
      </c>
      <c r="H146" s="3217"/>
      <c r="I146" s="3217" t="s">
        <v>1734</v>
      </c>
      <c r="J146" s="3217"/>
      <c r="K146" s="3217" t="s">
        <v>1734</v>
      </c>
      <c r="L146" s="996" t="s">
        <v>2944</v>
      </c>
      <c r="M146" s="2703">
        <v>1500</v>
      </c>
      <c r="N146" s="2703"/>
      <c r="O146" s="2518"/>
      <c r="P146" s="2518"/>
      <c r="Q146" s="1020"/>
      <c r="R146" s="2518"/>
      <c r="S146" s="2518"/>
      <c r="T146" s="1020"/>
      <c r="U146" s="2518"/>
      <c r="V146" s="2518"/>
      <c r="W146" s="1020"/>
      <c r="X146" s="2518">
        <v>1500</v>
      </c>
      <c r="Y146" s="2518"/>
      <c r="Z146" s="2518"/>
      <c r="AA146" s="2705"/>
      <c r="AB146" s="2532"/>
    </row>
    <row r="147" spans="1:64" ht="28.5" customHeight="1">
      <c r="A147" s="2549"/>
      <c r="B147" s="2549"/>
      <c r="C147" s="2549"/>
      <c r="D147" s="2497"/>
      <c r="E147" s="3297"/>
      <c r="F147" s="3298"/>
      <c r="G147" s="3270"/>
      <c r="H147" s="3218"/>
      <c r="I147" s="3218"/>
      <c r="J147" s="3218"/>
      <c r="K147" s="3218"/>
      <c r="L147" s="996" t="s">
        <v>2945</v>
      </c>
      <c r="M147" s="2703">
        <v>2100</v>
      </c>
      <c r="N147" s="2703"/>
      <c r="O147" s="2518"/>
      <c r="P147" s="2518"/>
      <c r="Q147" s="1020"/>
      <c r="R147" s="2518"/>
      <c r="S147" s="2518"/>
      <c r="T147" s="1020"/>
      <c r="U147" s="2518"/>
      <c r="V147" s="2518"/>
      <c r="W147" s="1020"/>
      <c r="X147" s="2518">
        <v>2100</v>
      </c>
      <c r="Y147" s="2518"/>
      <c r="Z147" s="2518"/>
      <c r="AA147" s="2705"/>
      <c r="AB147" s="2532"/>
    </row>
    <row r="148" spans="1:64" s="2495" customFormat="1" ht="48.75" customHeight="1">
      <c r="A148" s="71"/>
      <c r="B148" s="2686"/>
      <c r="C148" s="2686"/>
      <c r="D148" s="2713">
        <v>6.4</v>
      </c>
      <c r="E148" s="2714" t="s">
        <v>2946</v>
      </c>
      <c r="F148" s="2686"/>
      <c r="G148" s="2686"/>
      <c r="H148" s="2686"/>
      <c r="I148" s="2686"/>
      <c r="J148" s="2686"/>
      <c r="K148" s="2686"/>
      <c r="L148" s="2686"/>
      <c r="M148" s="2686"/>
      <c r="N148" s="2688"/>
      <c r="O148" s="2686"/>
      <c r="P148" s="2686"/>
      <c r="Q148" s="2686"/>
      <c r="R148" s="2686"/>
      <c r="S148" s="2686"/>
      <c r="T148" s="2686"/>
      <c r="U148" s="2686"/>
      <c r="V148" s="2686"/>
      <c r="W148" s="2686"/>
      <c r="X148" s="2686"/>
      <c r="Y148" s="2686"/>
      <c r="Z148" s="2686"/>
      <c r="AA148" s="2686"/>
      <c r="AB148" s="974"/>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row>
    <row r="149" spans="1:64" s="2425" customFormat="1" ht="111.75" customHeight="1">
      <c r="A149" s="2549"/>
      <c r="B149" s="2549"/>
      <c r="C149" s="2549"/>
      <c r="D149" s="2497"/>
      <c r="E149" s="1045" t="s">
        <v>2947</v>
      </c>
      <c r="F149" s="1018" t="s">
        <v>2948</v>
      </c>
      <c r="G149" s="1018" t="s">
        <v>2949</v>
      </c>
      <c r="H149" s="2533" t="s">
        <v>1734</v>
      </c>
      <c r="I149" s="2533" t="s">
        <v>1734</v>
      </c>
      <c r="J149" s="2533" t="s">
        <v>1734</v>
      </c>
      <c r="K149" s="2533" t="s">
        <v>1734</v>
      </c>
      <c r="L149" s="1044" t="s">
        <v>2950</v>
      </c>
      <c r="M149" s="2515"/>
      <c r="N149" s="2515"/>
      <c r="O149" s="1036"/>
      <c r="P149" s="1013"/>
      <c r="Q149" s="1036"/>
      <c r="R149" s="1036"/>
      <c r="S149" s="1036"/>
      <c r="T149" s="1013"/>
      <c r="U149" s="1036"/>
      <c r="V149" s="1036"/>
      <c r="W149" s="1013"/>
      <c r="X149" s="1036"/>
      <c r="Y149" s="1013"/>
      <c r="Z149" s="1036"/>
      <c r="AA149" s="2715" t="s">
        <v>2867</v>
      </c>
      <c r="AB149" s="2536" t="s">
        <v>2634</v>
      </c>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row>
    <row r="150" spans="1:64" s="2425" customFormat="1" ht="22.5" customHeight="1">
      <c r="A150" s="2496"/>
      <c r="B150" s="2496"/>
      <c r="C150" s="2496"/>
      <c r="D150" s="2546"/>
      <c r="E150" s="2716"/>
      <c r="F150" s="2717"/>
      <c r="G150" s="2717"/>
      <c r="H150" s="2718"/>
      <c r="I150" s="2718"/>
      <c r="J150" s="2718"/>
      <c r="K150" s="2718"/>
      <c r="L150" s="1044" t="s">
        <v>2951</v>
      </c>
      <c r="M150" s="2515">
        <v>2800</v>
      </c>
      <c r="N150" s="2515"/>
      <c r="O150" s="1036"/>
      <c r="P150" s="1013">
        <v>1400</v>
      </c>
      <c r="Q150" s="1036"/>
      <c r="R150" s="1036"/>
      <c r="S150" s="1036"/>
      <c r="T150" s="1013"/>
      <c r="U150" s="1036"/>
      <c r="V150" s="1036"/>
      <c r="W150" s="1013"/>
      <c r="X150" s="1036"/>
      <c r="Y150" s="1013">
        <v>1400</v>
      </c>
      <c r="Z150" s="1036"/>
      <c r="AA150" s="2719"/>
      <c r="AB150" s="2542"/>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row>
    <row r="151" spans="1:64" s="2425" customFormat="1" ht="48">
      <c r="A151" s="2496"/>
      <c r="B151" s="2496"/>
      <c r="C151" s="2496"/>
      <c r="D151" s="2546"/>
      <c r="E151" s="2716"/>
      <c r="F151" s="2717"/>
      <c r="G151" s="2717"/>
      <c r="H151" s="2718"/>
      <c r="I151" s="2718"/>
      <c r="J151" s="2718"/>
      <c r="K151" s="2718"/>
      <c r="L151" s="1044" t="s">
        <v>2952</v>
      </c>
      <c r="M151" s="2515">
        <v>3920</v>
      </c>
      <c r="N151" s="2515"/>
      <c r="O151" s="1036"/>
      <c r="P151" s="1013">
        <v>1960</v>
      </c>
      <c r="Q151" s="1036"/>
      <c r="R151" s="1036"/>
      <c r="S151" s="1036"/>
      <c r="T151" s="1013"/>
      <c r="U151" s="1036"/>
      <c r="V151" s="1036"/>
      <c r="W151" s="1013"/>
      <c r="X151" s="1036"/>
      <c r="Y151" s="1013">
        <v>1960</v>
      </c>
      <c r="Z151" s="1036"/>
      <c r="AA151" s="2719"/>
      <c r="AB151" s="2542"/>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row>
    <row r="152" spans="1:64" ht="85.5" customHeight="1">
      <c r="A152" s="2549"/>
      <c r="B152" s="2549"/>
      <c r="C152" s="2549"/>
      <c r="D152" s="2497"/>
      <c r="E152" s="2720" t="s">
        <v>2953</v>
      </c>
      <c r="F152" s="1045" t="s">
        <v>2954</v>
      </c>
      <c r="G152" s="1018" t="s">
        <v>2955</v>
      </c>
      <c r="H152" s="2704"/>
      <c r="I152" s="2704"/>
      <c r="J152" s="2704"/>
      <c r="K152" s="2704" t="s">
        <v>1734</v>
      </c>
      <c r="L152" s="1045" t="s">
        <v>2956</v>
      </c>
      <c r="M152" s="2703">
        <v>1000</v>
      </c>
      <c r="N152" s="2703"/>
      <c r="O152" s="2518"/>
      <c r="P152" s="2518"/>
      <c r="Q152" s="1020"/>
      <c r="R152" s="2518"/>
      <c r="S152" s="2518"/>
      <c r="T152" s="1020"/>
      <c r="U152" s="2518"/>
      <c r="V152" s="2518"/>
      <c r="W152" s="1020"/>
      <c r="X152" s="1020">
        <v>500</v>
      </c>
      <c r="Y152" s="2518">
        <v>500</v>
      </c>
      <c r="Z152" s="2518"/>
      <c r="AA152" s="2721" t="s">
        <v>2957</v>
      </c>
      <c r="AB152" s="2532" t="s">
        <v>2634</v>
      </c>
    </row>
    <row r="153" spans="1:64" s="2531" customFormat="1" ht="59.25" customHeight="1">
      <c r="A153" s="2691"/>
      <c r="B153" s="2691"/>
      <c r="C153" s="2691"/>
      <c r="D153" s="2536">
        <v>6.5</v>
      </c>
      <c r="E153" s="2714" t="s">
        <v>2958</v>
      </c>
      <c r="F153" s="2709"/>
      <c r="G153" s="2715"/>
      <c r="H153" s="1468"/>
      <c r="I153" s="1468"/>
      <c r="J153" s="1468"/>
      <c r="K153" s="1468"/>
      <c r="L153" s="2709"/>
      <c r="M153" s="2607"/>
      <c r="N153" s="2607"/>
      <c r="O153" s="2711"/>
      <c r="P153" s="2711"/>
      <c r="Q153" s="2712"/>
      <c r="R153" s="2711"/>
      <c r="S153" s="2711"/>
      <c r="T153" s="2712"/>
      <c r="U153" s="2711"/>
      <c r="V153" s="2711"/>
      <c r="W153" s="2712"/>
      <c r="X153" s="2712"/>
      <c r="Y153" s="2711"/>
      <c r="Z153" s="2711"/>
      <c r="AA153" s="2705"/>
      <c r="AB153" s="2532"/>
      <c r="AC153" s="2419"/>
      <c r="AD153" s="2419"/>
      <c r="AE153" s="2419"/>
      <c r="AF153" s="2419"/>
      <c r="AG153" s="2419"/>
      <c r="AH153" s="2419"/>
      <c r="AI153" s="2419"/>
      <c r="AJ153" s="2419"/>
      <c r="AK153" s="2419"/>
      <c r="AL153" s="2419"/>
      <c r="AM153" s="2419"/>
      <c r="AN153" s="2419"/>
      <c r="AO153" s="2419"/>
      <c r="AP153" s="2419"/>
      <c r="AQ153" s="2419"/>
      <c r="AR153" s="2419"/>
      <c r="AS153" s="2419"/>
      <c r="AT153" s="2419"/>
      <c r="AU153" s="2419"/>
      <c r="AV153" s="2419"/>
      <c r="AW153" s="2419"/>
      <c r="AX153" s="2419"/>
      <c r="AY153" s="2419"/>
      <c r="AZ153" s="2419"/>
      <c r="BA153" s="2419"/>
      <c r="BB153" s="2419"/>
      <c r="BC153" s="2419"/>
      <c r="BD153" s="2419"/>
      <c r="BE153" s="2419"/>
      <c r="BF153" s="2419"/>
      <c r="BG153" s="2419"/>
      <c r="BH153" s="2419"/>
      <c r="BI153" s="2419"/>
      <c r="BJ153" s="2419"/>
      <c r="BK153" s="2419"/>
      <c r="BL153" s="2419"/>
    </row>
    <row r="154" spans="1:64" s="2571" customFormat="1" ht="49.5" customHeight="1">
      <c r="A154" s="72"/>
      <c r="B154" s="72"/>
      <c r="C154" s="72"/>
      <c r="D154" s="973"/>
      <c r="E154" s="3302" t="s">
        <v>2959</v>
      </c>
      <c r="F154" s="3303" t="s">
        <v>2960</v>
      </c>
      <c r="G154" s="3303" t="s">
        <v>2961</v>
      </c>
      <c r="H154" s="3301"/>
      <c r="I154" s="3304" t="s">
        <v>1734</v>
      </c>
      <c r="J154" s="3301"/>
      <c r="K154" s="3301"/>
      <c r="L154" s="1044" t="s">
        <v>2962</v>
      </c>
      <c r="M154" s="972">
        <v>1000</v>
      </c>
      <c r="N154" s="972"/>
      <c r="O154" s="2515"/>
      <c r="P154" s="2515"/>
      <c r="Q154" s="1013"/>
      <c r="R154" s="2515">
        <v>1000</v>
      </c>
      <c r="S154" s="2515"/>
      <c r="T154" s="1013"/>
      <c r="U154" s="2515"/>
      <c r="V154" s="2515"/>
      <c r="W154" s="1013"/>
      <c r="X154" s="1013"/>
      <c r="Y154" s="2515"/>
      <c r="Z154" s="2515"/>
      <c r="AA154" s="950"/>
      <c r="AB154" s="974"/>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row>
    <row r="155" spans="1:64" ht="51.75" customHeight="1">
      <c r="A155" s="72"/>
      <c r="B155" s="72"/>
      <c r="C155" s="72"/>
      <c r="D155" s="973"/>
      <c r="E155" s="3302"/>
      <c r="F155" s="3303"/>
      <c r="G155" s="3303"/>
      <c r="H155" s="3301"/>
      <c r="I155" s="3304"/>
      <c r="J155" s="3301"/>
      <c r="K155" s="3301"/>
      <c r="L155" s="1044" t="s">
        <v>2963</v>
      </c>
      <c r="M155" s="972">
        <v>1400</v>
      </c>
      <c r="N155" s="972"/>
      <c r="O155" s="2515"/>
      <c r="P155" s="2515"/>
      <c r="Q155" s="1013"/>
      <c r="R155" s="2515">
        <v>1400</v>
      </c>
      <c r="S155" s="2515"/>
      <c r="T155" s="1013"/>
      <c r="U155" s="2515"/>
      <c r="V155" s="2515"/>
      <c r="W155" s="1013"/>
      <c r="X155" s="1013"/>
      <c r="Y155" s="2515"/>
      <c r="Z155" s="2515"/>
      <c r="AA155" s="950"/>
      <c r="AB155" s="974"/>
    </row>
    <row r="156" spans="1:64" ht="43.5" customHeight="1">
      <c r="A156" s="72"/>
      <c r="B156" s="72"/>
      <c r="C156" s="72"/>
      <c r="D156" s="973"/>
      <c r="E156" s="2722" t="s">
        <v>2964</v>
      </c>
      <c r="F156" s="2722" t="s">
        <v>2965</v>
      </c>
      <c r="G156" s="2723" t="s">
        <v>2966</v>
      </c>
      <c r="H156" s="2724"/>
      <c r="I156" s="2725" t="s">
        <v>1734</v>
      </c>
      <c r="J156" s="74" t="s">
        <v>1734</v>
      </c>
      <c r="K156" s="74" t="s">
        <v>1734</v>
      </c>
      <c r="L156" s="1067" t="s">
        <v>2967</v>
      </c>
      <c r="M156" s="972"/>
      <c r="N156" s="972"/>
      <c r="O156" s="2515"/>
      <c r="P156" s="2515"/>
      <c r="Q156" s="1013"/>
      <c r="R156" s="2515"/>
      <c r="S156" s="2515"/>
      <c r="T156" s="1013"/>
      <c r="U156" s="2515"/>
      <c r="V156" s="2515"/>
      <c r="W156" s="1013"/>
      <c r="X156" s="1013"/>
      <c r="Y156" s="2515"/>
      <c r="Z156" s="2515"/>
      <c r="AA156" s="950"/>
      <c r="AB156" s="974"/>
    </row>
    <row r="157" spans="1:64" s="2572" customFormat="1" ht="39">
      <c r="H157" s="2573"/>
      <c r="I157" s="2573"/>
      <c r="J157" s="2573"/>
      <c r="K157" s="2573"/>
      <c r="N157" s="2574" t="e">
        <f>+#REF!+N15+N23+N30+N109+N71</f>
        <v>#REF!</v>
      </c>
      <c r="Q157" s="2574">
        <f>SUM(O11:Q156)</f>
        <v>443520</v>
      </c>
      <c r="T157" s="2574">
        <f>SUM(R11:T156)</f>
        <v>1787630</v>
      </c>
      <c r="W157" s="2574">
        <f>SUM(U11:W156)</f>
        <v>491770</v>
      </c>
      <c r="Z157" s="2574">
        <f>SUM(X11:Z156)</f>
        <v>465410</v>
      </c>
      <c r="AB157" s="2573"/>
    </row>
    <row r="161" spans="16:19">
      <c r="P161" s="2575"/>
      <c r="Q161" s="2575"/>
      <c r="R161" s="2575"/>
      <c r="S161" s="2575"/>
    </row>
  </sheetData>
  <mergeCells count="206">
    <mergeCell ref="K154:K155"/>
    <mergeCell ref="E154:E155"/>
    <mergeCell ref="F154:F155"/>
    <mergeCell ref="G154:G155"/>
    <mergeCell ref="H154:H155"/>
    <mergeCell ref="I154:I155"/>
    <mergeCell ref="J154:J155"/>
    <mergeCell ref="K144:K145"/>
    <mergeCell ref="E146:E147"/>
    <mergeCell ref="F146:F147"/>
    <mergeCell ref="G146:G147"/>
    <mergeCell ref="H146:H147"/>
    <mergeCell ref="I146:I147"/>
    <mergeCell ref="J146:J147"/>
    <mergeCell ref="K146:K147"/>
    <mergeCell ref="E144:E145"/>
    <mergeCell ref="F144:F145"/>
    <mergeCell ref="G144:G145"/>
    <mergeCell ref="H144:H145"/>
    <mergeCell ref="I144:I145"/>
    <mergeCell ref="J144:J145"/>
    <mergeCell ref="E137:E139"/>
    <mergeCell ref="F137:F139"/>
    <mergeCell ref="G137:G139"/>
    <mergeCell ref="H137:H139"/>
    <mergeCell ref="I137:I139"/>
    <mergeCell ref="J137:J139"/>
    <mergeCell ref="K137:K139"/>
    <mergeCell ref="AA137:AA139"/>
    <mergeCell ref="E140:E141"/>
    <mergeCell ref="F140:F141"/>
    <mergeCell ref="G140:G141"/>
    <mergeCell ref="H140:H141"/>
    <mergeCell ref="I140:I141"/>
    <mergeCell ref="J140:J141"/>
    <mergeCell ref="K140:K141"/>
    <mergeCell ref="E132:E134"/>
    <mergeCell ref="F132:F134"/>
    <mergeCell ref="G132:G133"/>
    <mergeCell ref="H132:H134"/>
    <mergeCell ref="I132:I134"/>
    <mergeCell ref="J132:J134"/>
    <mergeCell ref="K132:K134"/>
    <mergeCell ref="H135:H136"/>
    <mergeCell ref="I135:I136"/>
    <mergeCell ref="J135:J136"/>
    <mergeCell ref="K135:K136"/>
    <mergeCell ref="J127:J128"/>
    <mergeCell ref="K127:K128"/>
    <mergeCell ref="AB127:AB128"/>
    <mergeCell ref="E130:E131"/>
    <mergeCell ref="F130:F131"/>
    <mergeCell ref="G130:G131"/>
    <mergeCell ref="H130:H131"/>
    <mergeCell ref="I130:I131"/>
    <mergeCell ref="J130:J131"/>
    <mergeCell ref="K130:K131"/>
    <mergeCell ref="AA130:AA131"/>
    <mergeCell ref="AB130:AB131"/>
    <mergeCell ref="A127:A128"/>
    <mergeCell ref="B127:B128"/>
    <mergeCell ref="C127:C128"/>
    <mergeCell ref="D127:D128"/>
    <mergeCell ref="E127:E128"/>
    <mergeCell ref="F127:F128"/>
    <mergeCell ref="G127:G128"/>
    <mergeCell ref="H127:H128"/>
    <mergeCell ref="I127:I128"/>
    <mergeCell ref="J123:J124"/>
    <mergeCell ref="K123:K124"/>
    <mergeCell ref="AA123:AA124"/>
    <mergeCell ref="E125:E126"/>
    <mergeCell ref="F125:F126"/>
    <mergeCell ref="G125:G126"/>
    <mergeCell ref="H125:H126"/>
    <mergeCell ref="I125:I126"/>
    <mergeCell ref="K125:K126"/>
    <mergeCell ref="AA125:AA126"/>
    <mergeCell ref="A123:A124"/>
    <mergeCell ref="B123:B124"/>
    <mergeCell ref="C123:C124"/>
    <mergeCell ref="D123:D124"/>
    <mergeCell ref="E123:E124"/>
    <mergeCell ref="F123:F124"/>
    <mergeCell ref="G123:G124"/>
    <mergeCell ref="H123:H124"/>
    <mergeCell ref="I123:I124"/>
    <mergeCell ref="AB120:AB122"/>
    <mergeCell ref="A121:A122"/>
    <mergeCell ref="B121:B122"/>
    <mergeCell ref="C121:C122"/>
    <mergeCell ref="D121:D122"/>
    <mergeCell ref="E121:E122"/>
    <mergeCell ref="F121:F122"/>
    <mergeCell ref="G121:G122"/>
    <mergeCell ref="H121:H122"/>
    <mergeCell ref="I121:I122"/>
    <mergeCell ref="J121:J122"/>
    <mergeCell ref="K121:K122"/>
    <mergeCell ref="AA121:AA122"/>
    <mergeCell ref="H118:H119"/>
    <mergeCell ref="I118:I119"/>
    <mergeCell ref="J118:J119"/>
    <mergeCell ref="K118:K119"/>
    <mergeCell ref="AA118:AA119"/>
    <mergeCell ref="AB118:AB119"/>
    <mergeCell ref="K112:K114"/>
    <mergeCell ref="AA115:AA117"/>
    <mergeCell ref="AB115:AB117"/>
    <mergeCell ref="H112:H114"/>
    <mergeCell ref="I112:I114"/>
    <mergeCell ref="J112:J114"/>
    <mergeCell ref="A118:A119"/>
    <mergeCell ref="B118:B119"/>
    <mergeCell ref="C118:C119"/>
    <mergeCell ref="D118:D119"/>
    <mergeCell ref="E118:E119"/>
    <mergeCell ref="F118:F119"/>
    <mergeCell ref="G118:G119"/>
    <mergeCell ref="E112:E114"/>
    <mergeCell ref="F112:F114"/>
    <mergeCell ref="G112:G114"/>
    <mergeCell ref="X102:X105"/>
    <mergeCell ref="Y102:Y105"/>
    <mergeCell ref="Z102:Z105"/>
    <mergeCell ref="AB102:AB105"/>
    <mergeCell ref="AC102:AC105"/>
    <mergeCell ref="F103:F107"/>
    <mergeCell ref="R102:R105"/>
    <mergeCell ref="S102:S105"/>
    <mergeCell ref="T102:T105"/>
    <mergeCell ref="U102:U105"/>
    <mergeCell ref="V102:V105"/>
    <mergeCell ref="W102:W105"/>
    <mergeCell ref="L102:L105"/>
    <mergeCell ref="M102:M105"/>
    <mergeCell ref="N102:N105"/>
    <mergeCell ref="O102:O105"/>
    <mergeCell ref="P102:P105"/>
    <mergeCell ref="Q102:Q105"/>
    <mergeCell ref="J95:J98"/>
    <mergeCell ref="K95:K98"/>
    <mergeCell ref="D100:D101"/>
    <mergeCell ref="G102:G107"/>
    <mergeCell ref="H102:H103"/>
    <mergeCell ref="I102:I103"/>
    <mergeCell ref="J102:J103"/>
    <mergeCell ref="K102:K103"/>
    <mergeCell ref="F91:F92"/>
    <mergeCell ref="E95:E98"/>
    <mergeCell ref="F95:F98"/>
    <mergeCell ref="G95:G98"/>
    <mergeCell ref="H95:H98"/>
    <mergeCell ref="I95:I98"/>
    <mergeCell ref="D81:D82"/>
    <mergeCell ref="E81:E82"/>
    <mergeCell ref="F81:F82"/>
    <mergeCell ref="G81:G82"/>
    <mergeCell ref="H81:H82"/>
    <mergeCell ref="I81:I82"/>
    <mergeCell ref="J81:J82"/>
    <mergeCell ref="K81:K82"/>
    <mergeCell ref="D87:D88"/>
    <mergeCell ref="E87:E88"/>
    <mergeCell ref="F87:F88"/>
    <mergeCell ref="G87:G88"/>
    <mergeCell ref="H87:H88"/>
    <mergeCell ref="I87:I88"/>
    <mergeCell ref="J87:J88"/>
    <mergeCell ref="K87:K88"/>
    <mergeCell ref="E71:L71"/>
    <mergeCell ref="D74:D75"/>
    <mergeCell ref="E74:E75"/>
    <mergeCell ref="F74:F75"/>
    <mergeCell ref="G74:G75"/>
    <mergeCell ref="D79:D80"/>
    <mergeCell ref="E79:E80"/>
    <mergeCell ref="F79:F80"/>
    <mergeCell ref="G79:G80"/>
    <mergeCell ref="H79:H80"/>
    <mergeCell ref="I79:I80"/>
    <mergeCell ref="J79:J80"/>
    <mergeCell ref="K79:K80"/>
    <mergeCell ref="E23:G23"/>
    <mergeCell ref="E29:M29"/>
    <mergeCell ref="E30:M30"/>
    <mergeCell ref="F37:F42"/>
    <mergeCell ref="E38:E39"/>
    <mergeCell ref="E70:M70"/>
    <mergeCell ref="AB8:AB10"/>
    <mergeCell ref="O9:Q9"/>
    <mergeCell ref="R9:T9"/>
    <mergeCell ref="U9:W9"/>
    <mergeCell ref="X9:Z9"/>
    <mergeCell ref="E12:E13"/>
    <mergeCell ref="F12:F14"/>
    <mergeCell ref="D1:AB1"/>
    <mergeCell ref="D8:D10"/>
    <mergeCell ref="E8:E10"/>
    <mergeCell ref="F8:F10"/>
    <mergeCell ref="G8:G10"/>
    <mergeCell ref="H8:K9"/>
    <mergeCell ref="L8:M9"/>
    <mergeCell ref="N8:N10"/>
    <mergeCell ref="O8:Z8"/>
    <mergeCell ref="AA8:AA10"/>
  </mergeCells>
  <phoneticPr fontId="149"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17</vt:i4>
      </vt:variant>
      <vt:variant>
        <vt:lpstr>ช่วงที่มีชื่อ</vt:lpstr>
      </vt:variant>
      <vt:variant>
        <vt:i4>1</vt:i4>
      </vt:variant>
    </vt:vector>
  </HeadingPairs>
  <TitlesOfParts>
    <vt:vector size="18" baseType="lpstr">
      <vt:lpstr>สรุปงบกง.</vt:lpstr>
      <vt:lpstr>รวมโครงการ</vt:lpstr>
      <vt:lpstr>รายละเอียดแผนงานโครงการ</vt:lpstr>
      <vt:lpstr>หลักเกณฑ์การตั้งงบ</vt:lpstr>
      <vt:lpstr>แผนไทย</vt:lpstr>
      <vt:lpstr>ทันตฯ</vt:lpstr>
      <vt:lpstr>บริหาร</vt:lpstr>
      <vt:lpstr>ประกัน</vt:lpstr>
      <vt:lpstr>คบส</vt:lpstr>
      <vt:lpstr>ยุทธ</vt:lpstr>
      <vt:lpstr>กฎหมาย</vt:lpstr>
      <vt:lpstr>NCD</vt:lpstr>
      <vt:lpstr>พร.</vt:lpstr>
      <vt:lpstr>อวล.</vt:lpstr>
      <vt:lpstr>บค.</vt:lpstr>
      <vt:lpstr>ส่งเสริม</vt:lpstr>
      <vt:lpstr>คร</vt:lpstr>
      <vt:lpstr>รายละเอียดแผนงานโครงการ!Print_Titles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2022-12-07T04:00:08Z</cp:lastPrinted>
  <dcterms:created xsi:type="dcterms:W3CDTF">2020-09-24T02:50:05Z</dcterms:created>
  <dcterms:modified xsi:type="dcterms:W3CDTF">2023-03-07T07:41:22Z</dcterms:modified>
</cp:coreProperties>
</file>